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unity_Cultural_Services\SERVICES - CLARENCE REGIONAL LIBRARY\CRL Committee\Library Committee 2014\November 2014\Attachments\"/>
    </mc:Choice>
  </mc:AlternateContent>
  <bookViews>
    <workbookView xWindow="480" yWindow="270" windowWidth="27795" windowHeight="14250"/>
  </bookViews>
  <sheets>
    <sheet name="Report" sheetId="5" r:id="rId1"/>
    <sheet name="Workings" sheetId="4" r:id="rId2"/>
    <sheet name="transactions" sheetId="1" r:id="rId3"/>
  </sheets>
  <calcPr calcId="152511"/>
</workbook>
</file>

<file path=xl/calcChain.xml><?xml version="1.0" encoding="utf-8"?>
<calcChain xmlns="http://schemas.openxmlformats.org/spreadsheetml/2006/main">
  <c r="G64" i="5" l="1"/>
  <c r="G55" i="5"/>
  <c r="E55" i="5"/>
  <c r="C42" i="4"/>
  <c r="C41" i="4"/>
  <c r="C30" i="4"/>
  <c r="C23" i="4"/>
  <c r="C20" i="4"/>
  <c r="C11" i="4"/>
  <c r="B10" i="4"/>
  <c r="C9" i="4"/>
  <c r="C7" i="4"/>
  <c r="E64" i="5" l="1"/>
  <c r="C58" i="5"/>
  <c r="C59" i="5"/>
  <c r="E59" i="5" s="1"/>
  <c r="G69" i="5"/>
  <c r="C69" i="5"/>
  <c r="E69" i="5" s="1"/>
  <c r="G68" i="5"/>
  <c r="C68" i="5"/>
  <c r="E68" i="5" s="1"/>
  <c r="G65" i="5"/>
  <c r="C65" i="5"/>
  <c r="E65" i="5" s="1"/>
  <c r="G60" i="5" l="1"/>
  <c r="E60" i="5"/>
  <c r="C60" i="5"/>
  <c r="G70" i="5"/>
  <c r="C66" i="5"/>
  <c r="G66" i="5"/>
  <c r="C70" i="5"/>
  <c r="E70" i="5"/>
  <c r="E66" i="5"/>
  <c r="G40" i="5"/>
  <c r="G41" i="5"/>
  <c r="G42" i="5"/>
  <c r="G43" i="5"/>
  <c r="G34" i="5"/>
  <c r="G35" i="5"/>
  <c r="G29" i="5"/>
  <c r="G30" i="5"/>
  <c r="G31" i="5"/>
  <c r="G20" i="5"/>
  <c r="G21" i="5"/>
  <c r="G23" i="5"/>
  <c r="G24" i="5"/>
  <c r="G25" i="5"/>
  <c r="G38" i="5"/>
  <c r="G18" i="5"/>
  <c r="G10" i="5"/>
  <c r="G11" i="5"/>
  <c r="G12" i="5"/>
  <c r="G9" i="5"/>
  <c r="C84" i="5"/>
  <c r="B36" i="4"/>
  <c r="B24" i="4"/>
  <c r="C24" i="4" s="1"/>
  <c r="G22" i="5" s="1"/>
  <c r="B20" i="4"/>
  <c r="G39" i="5"/>
  <c r="B37" i="4"/>
  <c r="C34" i="5" s="1"/>
  <c r="E34" i="5" s="1"/>
  <c r="B32" i="4"/>
  <c r="C30" i="5" s="1"/>
  <c r="E30" i="5" s="1"/>
  <c r="G28" i="5"/>
  <c r="B30" i="4"/>
  <c r="C28" i="5" s="1"/>
  <c r="E28" i="5" s="1"/>
  <c r="B23" i="4"/>
  <c r="B22" i="4"/>
  <c r="C21" i="4"/>
  <c r="G19" i="5" s="1"/>
  <c r="G13" i="5"/>
  <c r="B11" i="4"/>
  <c r="B9" i="4"/>
  <c r="B8" i="4"/>
  <c r="B7" i="4"/>
  <c r="C39" i="5"/>
  <c r="E39" i="5" s="1"/>
  <c r="C40" i="5"/>
  <c r="E40" i="5" s="1"/>
  <c r="C41" i="5"/>
  <c r="E41" i="5" s="1"/>
  <c r="C42" i="5"/>
  <c r="E42" i="5" s="1"/>
  <c r="C43" i="5"/>
  <c r="E43" i="5" s="1"/>
  <c r="C38" i="5"/>
  <c r="E38" i="5" s="1"/>
  <c r="C35" i="5"/>
  <c r="E35" i="5" s="1"/>
  <c r="C29" i="5"/>
  <c r="E29" i="5" s="1"/>
  <c r="C31" i="5"/>
  <c r="E31" i="5" s="1"/>
  <c r="I28" i="5" l="1"/>
  <c r="G72" i="5"/>
  <c r="G75" i="5" s="1"/>
  <c r="E72" i="5"/>
  <c r="E75" i="5" s="1"/>
  <c r="C72" i="5"/>
  <c r="C75" i="5" s="1"/>
  <c r="I43" i="5"/>
  <c r="I64" i="5"/>
  <c r="I35" i="5"/>
  <c r="I41" i="5"/>
  <c r="I31" i="5"/>
  <c r="I40" i="5"/>
  <c r="E36" i="5"/>
  <c r="I42" i="5"/>
  <c r="I39" i="5"/>
  <c r="I38" i="5"/>
  <c r="I30" i="5"/>
  <c r="E32" i="5"/>
  <c r="I34" i="5"/>
  <c r="E44" i="5"/>
  <c r="C25" i="5"/>
  <c r="E25" i="5" s="1"/>
  <c r="C19" i="5"/>
  <c r="E19" i="5" s="1"/>
  <c r="I19" i="5" s="1"/>
  <c r="C20" i="5"/>
  <c r="E20" i="5" s="1"/>
  <c r="I20" i="5" s="1"/>
  <c r="C21" i="5"/>
  <c r="E21" i="5" s="1"/>
  <c r="I21" i="5" s="1"/>
  <c r="C22" i="5"/>
  <c r="E22" i="5" s="1"/>
  <c r="I22" i="5" s="1"/>
  <c r="C23" i="5"/>
  <c r="E23" i="5" s="1"/>
  <c r="I23" i="5" s="1"/>
  <c r="C24" i="5"/>
  <c r="E24" i="5" s="1"/>
  <c r="I24" i="5" s="1"/>
  <c r="C18" i="5"/>
  <c r="E18" i="5" s="1"/>
  <c r="I18" i="5" s="1"/>
  <c r="C10" i="5"/>
  <c r="E10" i="5" s="1"/>
  <c r="I10" i="5" s="1"/>
  <c r="C11" i="5"/>
  <c r="E11" i="5" s="1"/>
  <c r="I11" i="5" s="1"/>
  <c r="C12" i="5"/>
  <c r="E12" i="5" s="1"/>
  <c r="I12" i="5" s="1"/>
  <c r="C13" i="5"/>
  <c r="E13" i="5" s="1"/>
  <c r="I13" i="5" s="1"/>
  <c r="C9" i="5"/>
  <c r="E9" i="5" s="1"/>
  <c r="I9" i="5" s="1"/>
  <c r="E26" i="5" l="1"/>
  <c r="E45" i="5" s="1"/>
  <c r="E14" i="5"/>
  <c r="E48" i="5" l="1"/>
  <c r="C44" i="5"/>
  <c r="C36" i="5"/>
  <c r="C32" i="5"/>
  <c r="C26" i="5"/>
  <c r="C14" i="5"/>
  <c r="C48" i="5" s="1"/>
  <c r="C87" i="5" l="1"/>
  <c r="C89" i="5" s="1"/>
  <c r="C91" i="5" s="1"/>
  <c r="C45" i="5"/>
  <c r="C93" i="5" l="1"/>
  <c r="C47" i="4"/>
  <c r="C16" i="4"/>
  <c r="B47" i="4"/>
  <c r="B28" i="4"/>
  <c r="G44" i="5"/>
  <c r="G36" i="5"/>
  <c r="B16" i="4"/>
  <c r="C34" i="4"/>
  <c r="C39" i="4"/>
  <c r="B34" i="4"/>
  <c r="C28" i="4" l="1"/>
  <c r="C51" i="4" s="1"/>
  <c r="G26" i="5"/>
  <c r="G14" i="5"/>
  <c r="G32" i="5"/>
  <c r="G48" i="5" l="1"/>
  <c r="G45" i="5"/>
  <c r="B39" i="4" l="1"/>
  <c r="B51" i="4" s="1"/>
</calcChain>
</file>

<file path=xl/sharedStrings.xml><?xml version="1.0" encoding="utf-8"?>
<sst xmlns="http://schemas.openxmlformats.org/spreadsheetml/2006/main" count="216" uniqueCount="177">
  <si>
    <t>Account Details</t>
  </si>
  <si>
    <t>997435-0001-2000 - Clar Reg Lib Op Sal &amp; Empl Cost Expenses        Salaries Ord</t>
  </si>
  <si>
    <t>997435-0001-2009 - Clar Reg Lib Op Sal &amp; Empl Cost Expenses        Travel Exp</t>
  </si>
  <si>
    <t>997435-0001-2010 - Clar Reg Lib Op Sal &amp; Empl Cost Expenses        Public Holiday</t>
  </si>
  <si>
    <t>997435-0001-2015 - Clar Reg Lib Op Sal &amp; Empl Cost Expenses        A/Leave Accrued</t>
  </si>
  <si>
    <t>997435-0001-2020 - Clar Reg Lib Op Sal &amp; Empl Cost Expenses        LSL Accrued</t>
  </si>
  <si>
    <t>997435-0001-2021 - Clar Reg Lib Op Sal &amp; Empl Cost Expenses        RDO Accrued</t>
  </si>
  <si>
    <t>997435-0001-2022 - Clar Reg Lib Op Sal &amp; Empl Cost Expenses        TIL Accrued</t>
  </si>
  <si>
    <t>997435-0001-2025 - Clar Reg Lib Op Sal &amp; Empl Cost Expenses        Super Accum</t>
  </si>
  <si>
    <t>997435-0001-2030 - Clar Reg Lib Op Sal &amp; Empl Cost Expenses        Workers Comp</t>
  </si>
  <si>
    <t>997435-0001-4960 - Clar Reg Lib Op Sal &amp; Empl Cost Int Expenses    Int MV Exp</t>
  </si>
  <si>
    <t>997435-0010-2200 - Clar Reg Lib Op Administrative  Expenses        Materials</t>
  </si>
  <si>
    <t>997435-0010-2585 - Clar Reg Lib Op Administrative  Expenses        Subscriptions</t>
  </si>
  <si>
    <t>997435-0015-2200 - Clar Reg Lib Op Op Exps         Expenses        Materials</t>
  </si>
  <si>
    <t>997435-0015-2201 - Clar Reg Lib Op Op Exps         Expenses        Contractors</t>
  </si>
  <si>
    <t>997435-0015-2501 - Clar Reg Lib Op Op Exps         Expenses        Advertising Exp</t>
  </si>
  <si>
    <t>997435-0015-2580 - Clar Reg Lib Op Op Exps         Expenses        Postage</t>
  </si>
  <si>
    <t>997435-0015-2581 - Clar Reg Lib Op Op Exps         Expenses        Printing &amp; Stat</t>
  </si>
  <si>
    <t>997435-0015-2591 - Clar Reg Lib Op Op Exps         Expenses        Internet Fees</t>
  </si>
  <si>
    <t>997435-0401-4940 - Clar Reg Lib Op ABC-Governance  Int Expenses    Int Admin Exp</t>
  </si>
  <si>
    <t>997435-0402-4940 - Clar Reg Lib Op ABC-Admin Bldg  Int Expenses    Int Admin Exp</t>
  </si>
  <si>
    <t>997435-0403-4940 - Clar Reg Lib Op ABC-HR &amp; Payrol Int Expenses    Int Admin Exp</t>
  </si>
  <si>
    <t>997435-0405-4940 - Clar Reg Lib Op ABC-Finance     Int Expenses    Int Admin Exp</t>
  </si>
  <si>
    <t>997435-0517-4940 - Clar Reg Lib Op Contbn to Comm  Int Expenses    Int Admin Exp</t>
  </si>
  <si>
    <t>997435-1007-2200 - Clar Reg Lib Op Computer Consum Expenses        Materials</t>
  </si>
  <si>
    <t>997435-1020-2200 - Clar Reg Lib Op Training &amp; Dev  Expenses        Materials</t>
  </si>
  <si>
    <t>997435-1124-2533 - Clar Reg Lib Op Managed Sypus S Expenses        Comp Mtce</t>
  </si>
  <si>
    <t>997435-1131-2200 - Clar Reg Lib Op Harwdare/Networ Expenses        Materials</t>
  </si>
  <si>
    <t>997435-1132-2585 - Clar Reg Lib Op Database Subs   Expenses        Subscriptions</t>
  </si>
  <si>
    <t>997435-1189-1490 - Clar Reg Lib Op Travel &amp; Accom  Revenue         Other Revenue</t>
  </si>
  <si>
    <t>997435-1353-2200 - Clar Reg Lib Op Sundry Exps - M Expenses        Materials</t>
  </si>
  <si>
    <t>997435-1814-2200 - Clar Reg Lib Op Freight &amp; Carta Expenses        Materials</t>
  </si>
  <si>
    <t>997435-1820-2200 - Clar Reg Lib Op Reg Lib Committ Expenses        Materials</t>
  </si>
  <si>
    <t>997435-1821-2200 - Clar Reg Lib Op Books Mtc       Expenses        Materials</t>
  </si>
  <si>
    <t>997435-1836-2200 - Clar Reg Lib Op Furniture/Equip Expenses        Materials</t>
  </si>
  <si>
    <t>997435-3003-2201 - Clar Reg Lib Op Garbage/Litter  Expenses        Contractors</t>
  </si>
  <si>
    <t>997435-5010-1490 - Clar Reg Lib Op Sundry Income   Revenue         Other Revenue</t>
  </si>
  <si>
    <t>997435-5223-2581 - Clar Reg Lib Op Photocopying    Expenses        Printing &amp; Stat</t>
  </si>
  <si>
    <t>997435-5225-3940 - Clar Reg Lib Op Clar Valley Cou Internal Rev    Int Admin Incom</t>
  </si>
  <si>
    <t>997435-5227-1740 - Clar Reg Lib Op Bellingen Shire Revenue         OpCont - Lib</t>
  </si>
  <si>
    <t>997435-5228-3940 - Clar Reg Lib Op Clar Valley Cou Internal Rev    Int Admin Incom</t>
  </si>
  <si>
    <t>997435-5230-1740 - Clar Reg Lib Op Bellingen Shire Revenue         OpCont - Lib</t>
  </si>
  <si>
    <t>997435-5231-1299 - Clar Reg Lib Op Temporary Resid Revenue         Other fees</t>
  </si>
  <si>
    <t>997435-5232-1299 - Clar Reg Lib Op Overdue Book Fe Revenue         Other fees</t>
  </si>
  <si>
    <t>997435-5233-3940 - Clar Reg Lib Op Special Local P Internal Rev    Int Admin Incom</t>
  </si>
  <si>
    <t>997435-5235-1740 - Clar Reg Lib Op Special Local P Revenue         OpCont - Lib</t>
  </si>
  <si>
    <t>997435-5236-1299 - Clar Reg Lib Op Inter Library L Revenue         Other fees</t>
  </si>
  <si>
    <t>997435-5517-1345 - Clar Reg Lib Op Int on Investme Revenue         IntUnrestricted</t>
  </si>
  <si>
    <t>997435-7304-2200 - Clar Reg Lib Op Publicity/Promo Expenses        Materials</t>
  </si>
  <si>
    <t xml:space="preserve">CLARENCE REGIONAL LIBRARY </t>
  </si>
  <si>
    <t>REVENUE &amp; EXPENDITURE</t>
  </si>
  <si>
    <t>Revenue</t>
  </si>
  <si>
    <t>Contributions CVC</t>
  </si>
  <si>
    <t>Contributions BSC</t>
  </si>
  <si>
    <t>Revenues from users</t>
  </si>
  <si>
    <t>Interest received</t>
  </si>
  <si>
    <t>Sundry Revenues</t>
  </si>
  <si>
    <t>Expenditure</t>
  </si>
  <si>
    <t>Workforce related</t>
  </si>
  <si>
    <t>Salaries &amp; Employment</t>
  </si>
  <si>
    <t>Public Holidays</t>
  </si>
  <si>
    <t>Superannuation</t>
  </si>
  <si>
    <t>Admin and Management support</t>
  </si>
  <si>
    <t>Leave Accruals</t>
  </si>
  <si>
    <t>Workers Compensation</t>
  </si>
  <si>
    <t>Motor vehicle costs</t>
  </si>
  <si>
    <t>Travel costs</t>
  </si>
  <si>
    <t>Site &amp; Equipment costs</t>
  </si>
  <si>
    <t>Computer system costs</t>
  </si>
  <si>
    <t>Building maintenance</t>
  </si>
  <si>
    <t>Insurance</t>
  </si>
  <si>
    <t>Direct Collection costs</t>
  </si>
  <si>
    <t>Book stock</t>
  </si>
  <si>
    <t>Freight &amp; cartage</t>
  </si>
  <si>
    <t>Book Maintenance</t>
  </si>
  <si>
    <t>Overhead costs</t>
  </si>
  <si>
    <t>Photocopying</t>
  </si>
  <si>
    <t>Regional Committee Expenses</t>
  </si>
  <si>
    <t>Natural Account</t>
  </si>
  <si>
    <t>2025 &amp; 2026</t>
  </si>
  <si>
    <t>1814-2200</t>
  </si>
  <si>
    <t>1821-2200</t>
  </si>
  <si>
    <t>1836-2200</t>
  </si>
  <si>
    <t>0025-4940</t>
  </si>
  <si>
    <t>0401-4940,0403-4940,0405-4940,0517-4940</t>
  </si>
  <si>
    <t>5227-1740,5230-1740,5235-1740</t>
  </si>
  <si>
    <t>570161-0035-6082</t>
  </si>
  <si>
    <t>Furniture &amp; Equipment Repairs &amp; Capital</t>
  </si>
  <si>
    <t>Newspaper on Microfilm</t>
  </si>
  <si>
    <t>Junior Non Ficition'</t>
  </si>
  <si>
    <t>3940, 5233-1740</t>
  </si>
  <si>
    <t>2015,2020,2021,2022,2011,2012</t>
  </si>
  <si>
    <t>Contribution from CVC Public</t>
  </si>
  <si>
    <t>Administrative Expenses</t>
  </si>
  <si>
    <t>Operating Expenses</t>
  </si>
  <si>
    <t>0402-4940, 3001-2200, 3001-2201, 3002-2201, 3003-2201, 3003-4995, 3007-2200</t>
  </si>
  <si>
    <t xml:space="preserve">Balance of CRL Reserve </t>
  </si>
  <si>
    <t>Add:</t>
  </si>
  <si>
    <t>Total Revenue</t>
  </si>
  <si>
    <t>Total Expenditure</t>
  </si>
  <si>
    <r>
      <t>Excess / (</t>
    </r>
    <r>
      <rPr>
        <sz val="10"/>
        <color indexed="10"/>
        <rFont val="Arial"/>
        <family val="2"/>
      </rPr>
      <t>Shortfall)</t>
    </r>
  </si>
  <si>
    <t>997435-0001-3940 - Clar Reg Lib Op Sal &amp; Empl Cost Internal Rev    Int Admin Incom</t>
  </si>
  <si>
    <t>997435-0100-4902 - Clar Reg Lib Op Tsfr to/from In Int Expenses    TsfrToExtRes</t>
  </si>
  <si>
    <t>Cat 5223</t>
  </si>
  <si>
    <t>1820-2200, 3921-2200</t>
  </si>
  <si>
    <t>Less transfers from reserve:</t>
  </si>
  <si>
    <t>Transfer from reserve to cover books</t>
  </si>
  <si>
    <t>Databases (Subscription,s etc)</t>
  </si>
  <si>
    <t>1132-2585</t>
  </si>
  <si>
    <t>Expenditure at</t>
  </si>
  <si>
    <t>1490, 1741,5213-3940</t>
  </si>
  <si>
    <t>Cat 0015,1825</t>
  </si>
  <si>
    <t>includes committed expenditure</t>
  </si>
  <si>
    <t>Subscriptions/Databses</t>
  </si>
  <si>
    <t>997435-3000-2200 - Clar Reg Lib Op Buildings Mtce  Expenses        Materials</t>
  </si>
  <si>
    <t>Balance of reserve net of interest</t>
  </si>
  <si>
    <t>997435-0010-2501 - Clar Reg Lib Op Administrative  Expenses        Advertising Exp</t>
  </si>
  <si>
    <t>997435-0025-2554 - Clar Reg Lib Op Insurance Alloc Expenses        Ins Property</t>
  </si>
  <si>
    <t>Promotional expenses</t>
  </si>
  <si>
    <t>cat 7304</t>
  </si>
  <si>
    <t>Book vote net capital expenditure</t>
  </si>
  <si>
    <t>Estimated operating transfer to reserve</t>
  </si>
  <si>
    <t>Cat 0010, 1353, 1020</t>
  </si>
  <si>
    <t>Actuals</t>
  </si>
  <si>
    <t>997435-0001-2001 - Clar Reg Lib Op Sal &amp; Empl Cost Expenses        Salaries OT</t>
  </si>
  <si>
    <t>997435-0001-2003 - Clar Reg Lib Op Sal &amp; Empl Cost Expenses        Salaries Allow</t>
  </si>
  <si>
    <t>997435-0001-2006 - Clar Reg Lib Op Sal &amp; Empl Cost Expenses        Salaries casual</t>
  </si>
  <si>
    <t>997435-0001-2011 - Clar Reg Lib Op Sal &amp; Empl Cost Expenses        Sick Leave</t>
  </si>
  <si>
    <t>997435-0010-2053 - Clar Reg Lib Op Administrative  Expenses        Seminars&amp;Confer</t>
  </si>
  <si>
    <t>997435-0010-2581 - Clar Reg Lib Op Administrative  Expenses        Printing &amp; Stat</t>
  </si>
  <si>
    <t>997435-0010-2590 - Clar Reg Lib Op Administrative  Expenses        Telephone</t>
  </si>
  <si>
    <t>997435-0010-6082 - Clar Reg Lib Op Administrative  Non Current Ass Asset Lib Books</t>
  </si>
  <si>
    <t>997435-0035-6062 - Clar Reg Lib Op Assets Purchase Non Current Ass Asset Furn&amp;Fit</t>
  </si>
  <si>
    <t>997435-0050-2101 - Clar Reg Lib Op Depreciation    Expenses        Depn Office Eq</t>
  </si>
  <si>
    <t>997435-0050-2102 - Clar Reg Lib Op Depreciation    Expenses        Depn Furn &amp; Fit</t>
  </si>
  <si>
    <t>997435-0050-2117 - Clar Reg Lib Op Depreciation    Expenses        Depn Library</t>
  </si>
  <si>
    <t>997435-0050-2160 - Clar Reg Lib Op Depreciation    Expenses        BudDepnOffset</t>
  </si>
  <si>
    <t>997435-0300-4902 - Clar Reg Lib Op Tsfr to/fr Ext  Int Expenses    TsfrToExtRes</t>
  </si>
  <si>
    <t>997435-1056-1344 - Clar Reg Lib Op Reg Library     Revenue         Interst Ex/Rest</t>
  </si>
  <si>
    <t>997435-1181-2000 - Clar Reg Lib Op Backpays        Expenses        Salaries Ord</t>
  </si>
  <si>
    <t>997435-1704-2562 - Clar Reg Lib Op North Grafton   Expenses        Electricity</t>
  </si>
  <si>
    <t>997435-1822-2200 - Clar Reg Lib Op Computerised Ca Expenses        Materials</t>
  </si>
  <si>
    <t>997435-3001-2201 - Clar Reg Lib Op Buildings Mtce  Expenses        Contractors</t>
  </si>
  <si>
    <t>997435-3007-2200 - Clar Reg Lib Op Public Toilets  Expenses        Materials</t>
  </si>
  <si>
    <t>997435-5237-1299 - Clar Reg Lib Op Visitor Charges Revenue         Other fees</t>
  </si>
  <si>
    <t>Includes subscription expense below</t>
  </si>
  <si>
    <t>Interest applied at end of financial year</t>
  </si>
  <si>
    <t>Balance as at 1/7/14</t>
  </si>
  <si>
    <t>PROJECTION FOR 2014/15</t>
  </si>
  <si>
    <t>Interest estimate at 4%</t>
  </si>
  <si>
    <t>Estimated balance as at 30/6/15</t>
  </si>
  <si>
    <t>Proposed Prior year book vote c/fwd</t>
  </si>
  <si>
    <t>CLARENCE REGIONAL LIBRARY - COMMITTEE REPORT</t>
  </si>
  <si>
    <t>Original Budget 2014/15</t>
  </si>
  <si>
    <t>% Actual vs Revised Budget</t>
  </si>
  <si>
    <t>Comments</t>
  </si>
  <si>
    <t>2014/2015 Revenue and Expenditure - OPERATIONAL</t>
  </si>
  <si>
    <t>The excess is the amount to be transferred to the CRL reserve and is a direct reflection of the base amount to be spent on bookstock</t>
  </si>
  <si>
    <t>Accruals are pro-rata based on budget</t>
  </si>
  <si>
    <t>2014/2015 Revenue and Expenditure - CAPITAL</t>
  </si>
  <si>
    <t>Asset Disposal</t>
  </si>
  <si>
    <t>Other Revenues</t>
  </si>
  <si>
    <t>Bookstock</t>
  </si>
  <si>
    <t>Furniture &amp; Equipment</t>
  </si>
  <si>
    <t>Furniture &amp; Equipment Repairs</t>
  </si>
  <si>
    <t>Recurrent</t>
  </si>
  <si>
    <t>Non-Recurrent</t>
  </si>
  <si>
    <t>The shortfall is the amount to be transferred from the CRL reserve and has a direct corellation with the net operating result</t>
  </si>
  <si>
    <t>Revised Budget as at  30/09/2014</t>
  </si>
  <si>
    <t>Actual Expenditure to 30/9/14</t>
  </si>
  <si>
    <t>14/15 Rev</t>
  </si>
  <si>
    <t>2000, 2002, 2003, 2006, 2011, 2061, 2067 &amp; 0001-2201,1020-2200,0001-3940,</t>
  </si>
  <si>
    <t xml:space="preserve">2533,1007-2200, </t>
  </si>
  <si>
    <t>check electricity</t>
  </si>
  <si>
    <t>No budget for this item</t>
  </si>
  <si>
    <t>Electricity charging of approx $10k to be reviewed</t>
  </si>
  <si>
    <t>Nil at this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</si>
</sst>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#,##0.00;\-\ #,##0.00"/>
    <numFmt numFmtId="165" formatCode="#,##0.00_ ;[Red]\-#,##0.00\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wrapText="1"/>
    </xf>
    <xf numFmtId="0" fontId="8" fillId="0" borderId="0" xfId="0" applyFont="1"/>
    <xf numFmtId="165" fontId="7" fillId="0" borderId="0" xfId="0" applyNumberFormat="1" applyFont="1"/>
    <xf numFmtId="165" fontId="5" fillId="0" borderId="0" xfId="0" applyNumberFormat="1" applyFont="1"/>
    <xf numFmtId="165" fontId="5" fillId="0" borderId="1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165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 wrapText="1"/>
    </xf>
    <xf numFmtId="14" fontId="5" fillId="0" borderId="0" xfId="0" applyNumberFormat="1" applyFont="1"/>
    <xf numFmtId="165" fontId="7" fillId="0" borderId="0" xfId="0" applyNumberFormat="1" applyFont="1" applyBorder="1"/>
    <xf numFmtId="165" fontId="5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0" fillId="0" borderId="0" xfId="0" applyBorder="1"/>
    <xf numFmtId="8" fontId="0" fillId="0" borderId="0" xfId="0" applyNumberFormat="1" applyBorder="1"/>
    <xf numFmtId="165" fontId="0" fillId="0" borderId="0" xfId="0" applyNumberFormat="1" applyBorder="1"/>
    <xf numFmtId="9" fontId="0" fillId="0" borderId="0" xfId="0" applyNumberFormat="1"/>
    <xf numFmtId="165" fontId="5" fillId="0" borderId="1" xfId="0" applyNumberFormat="1" applyFont="1" applyFill="1" applyBorder="1" applyAlignment="1">
      <alignment horizontal="right"/>
    </xf>
    <xf numFmtId="165" fontId="7" fillId="0" borderId="0" xfId="0" applyNumberFormat="1" applyFont="1" applyFill="1"/>
    <xf numFmtId="165" fontId="0" fillId="0" borderId="0" xfId="0" applyNumberFormat="1" applyFill="1"/>
    <xf numFmtId="0" fontId="1" fillId="0" borderId="0" xfId="5"/>
    <xf numFmtId="49" fontId="1" fillId="0" borderId="0" xfId="5" applyNumberFormat="1"/>
    <xf numFmtId="164" fontId="1" fillId="0" borderId="0" xfId="5" applyNumberFormat="1"/>
    <xf numFmtId="164" fontId="10" fillId="0" borderId="0" xfId="5" applyNumberFormat="1" applyFont="1"/>
    <xf numFmtId="49" fontId="12" fillId="0" borderId="0" xfId="5" applyNumberFormat="1" applyFont="1"/>
    <xf numFmtId="0" fontId="0" fillId="0" borderId="0" xfId="0" quotePrefix="1" applyFill="1" applyAlignment="1">
      <alignment horizontal="right" wrapText="1"/>
    </xf>
    <xf numFmtId="3" fontId="0" fillId="0" borderId="0" xfId="0" applyNumberFormat="1" applyFill="1" applyAlignment="1">
      <alignment horizontal="right" wrapText="1"/>
    </xf>
    <xf numFmtId="0" fontId="7" fillId="0" borderId="0" xfId="0" applyFont="1" applyFill="1" applyAlignment="1">
      <alignment horizontal="right" wrapText="1"/>
    </xf>
    <xf numFmtId="3" fontId="0" fillId="0" borderId="0" xfId="0" quotePrefix="1" applyNumberFormat="1" applyFill="1" applyAlignment="1">
      <alignment horizontal="right" wrapText="1"/>
    </xf>
    <xf numFmtId="165" fontId="7" fillId="0" borderId="0" xfId="0" applyNumberFormat="1" applyFont="1" applyBorder="1" applyAlignment="1">
      <alignment wrapText="1"/>
    </xf>
    <xf numFmtId="0" fontId="5" fillId="0" borderId="3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49" fontId="0" fillId="0" borderId="0" xfId="0" applyNumberFormat="1" applyBorder="1"/>
    <xf numFmtId="0" fontId="0" fillId="0" borderId="7" xfId="0" applyBorder="1"/>
    <xf numFmtId="165" fontId="5" fillId="0" borderId="0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7" fillId="0" borderId="6" xfId="0" applyFont="1" applyBorder="1"/>
    <xf numFmtId="0" fontId="5" fillId="0" borderId="0" xfId="0" applyFont="1" applyBorder="1"/>
    <xf numFmtId="9" fontId="0" fillId="0" borderId="0" xfId="0" applyNumberFormat="1" applyBorder="1"/>
    <xf numFmtId="0" fontId="8" fillId="0" borderId="6" xfId="0" applyFont="1" applyBorder="1"/>
    <xf numFmtId="0" fontId="7" fillId="0" borderId="0" xfId="0" applyFont="1" applyBorder="1"/>
    <xf numFmtId="0" fontId="0" fillId="0" borderId="8" xfId="0" applyBorder="1"/>
    <xf numFmtId="0" fontId="0" fillId="0" borderId="2" xfId="0" applyBorder="1"/>
    <xf numFmtId="49" fontId="0" fillId="0" borderId="2" xfId="0" applyNumberFormat="1" applyBorder="1"/>
    <xf numFmtId="9" fontId="0" fillId="0" borderId="2" xfId="0" applyNumberFormat="1" applyBorder="1"/>
    <xf numFmtId="0" fontId="0" fillId="0" borderId="9" xfId="0" applyBorder="1"/>
    <xf numFmtId="49" fontId="5" fillId="0" borderId="0" xfId="0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0" xfId="0" applyFont="1" applyBorder="1" applyAlignment="1">
      <alignment wrapText="1"/>
    </xf>
    <xf numFmtId="9" fontId="0" fillId="0" borderId="4" xfId="0" applyNumberFormat="1" applyBorder="1"/>
    <xf numFmtId="0" fontId="0" fillId="0" borderId="6" xfId="0" applyBorder="1"/>
    <xf numFmtId="165" fontId="7" fillId="2" borderId="0" xfId="0" applyNumberFormat="1" applyFont="1" applyFill="1" applyAlignment="1">
      <alignment horizontal="right"/>
    </xf>
    <xf numFmtId="165" fontId="7" fillId="2" borderId="0" xfId="0" applyNumberFormat="1" applyFont="1" applyFill="1"/>
    <xf numFmtId="0" fontId="5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5"/>
  <sheetViews>
    <sheetView tabSelected="1" topLeftCell="A13" zoomScaleNormal="100" workbookViewId="0">
      <selection activeCell="C84" sqref="C84"/>
    </sheetView>
  </sheetViews>
  <sheetFormatPr defaultRowHeight="12.75" x14ac:dyDescent="0.2"/>
  <cols>
    <col min="2" max="2" width="32.85546875" style="1" customWidth="1"/>
    <col min="3" max="3" width="17.28515625" style="14" bestFit="1" customWidth="1"/>
    <col min="4" max="4" width="1.140625" style="24" customWidth="1"/>
    <col min="5" max="5" width="17.28515625" style="14" customWidth="1"/>
    <col min="6" max="6" width="2" style="1" customWidth="1"/>
    <col min="7" max="7" width="18" style="14" customWidth="1"/>
    <col min="8" max="8" width="2" style="1" customWidth="1"/>
    <col min="9" max="9" width="15.28515625" bestFit="1" customWidth="1"/>
    <col min="10" max="10" width="56.7109375" customWidth="1"/>
    <col min="11" max="11" width="1.85546875" customWidth="1"/>
  </cols>
  <sheetData>
    <row r="2" spans="2:11" ht="13.5" thickBot="1" x14ac:dyDescent="0.25"/>
    <row r="3" spans="2:11" x14ac:dyDescent="0.2">
      <c r="B3" s="67" t="s">
        <v>152</v>
      </c>
      <c r="C3" s="68"/>
      <c r="D3" s="68"/>
      <c r="E3" s="68"/>
      <c r="F3" s="68"/>
      <c r="G3" s="68"/>
      <c r="H3" s="68"/>
      <c r="I3" s="68"/>
      <c r="J3" s="68"/>
      <c r="K3" s="69"/>
    </row>
    <row r="4" spans="2:11" x14ac:dyDescent="0.2">
      <c r="B4" s="70" t="s">
        <v>156</v>
      </c>
      <c r="C4" s="71"/>
      <c r="D4" s="71"/>
      <c r="E4" s="71"/>
      <c r="F4" s="71"/>
      <c r="G4" s="71"/>
      <c r="H4" s="71"/>
      <c r="I4" s="71"/>
      <c r="J4" s="71"/>
      <c r="K4" s="72"/>
    </row>
    <row r="5" spans="2:11" x14ac:dyDescent="0.2"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2:11" ht="27" customHeight="1" x14ac:dyDescent="0.2">
      <c r="B6" s="43"/>
      <c r="C6" s="46" t="s">
        <v>153</v>
      </c>
      <c r="D6" s="38"/>
      <c r="E6" s="46" t="s">
        <v>168</v>
      </c>
      <c r="F6" s="47"/>
      <c r="G6" s="46" t="s">
        <v>169</v>
      </c>
      <c r="H6" s="47"/>
      <c r="I6" s="46" t="s">
        <v>154</v>
      </c>
      <c r="J6" s="58" t="s">
        <v>155</v>
      </c>
      <c r="K6" s="45"/>
    </row>
    <row r="7" spans="2:11" x14ac:dyDescent="0.2">
      <c r="B7" s="48"/>
      <c r="C7" s="19"/>
      <c r="D7" s="19"/>
      <c r="E7" s="19"/>
      <c r="F7" s="44"/>
      <c r="G7" s="19"/>
      <c r="H7" s="44"/>
      <c r="I7" s="49"/>
      <c r="J7" s="22"/>
      <c r="K7" s="45"/>
    </row>
    <row r="8" spans="2:11" x14ac:dyDescent="0.2">
      <c r="B8" s="43" t="s">
        <v>51</v>
      </c>
      <c r="C8" s="18"/>
      <c r="D8" s="18"/>
      <c r="E8" s="18"/>
      <c r="F8" s="44"/>
      <c r="G8" s="18"/>
      <c r="H8" s="44"/>
      <c r="I8" s="22"/>
      <c r="J8" s="22"/>
      <c r="K8" s="45"/>
    </row>
    <row r="9" spans="2:11" x14ac:dyDescent="0.2">
      <c r="B9" s="48" t="s">
        <v>52</v>
      </c>
      <c r="C9" s="20">
        <f>Workings!B7</f>
        <v>785377</v>
      </c>
      <c r="D9" s="20"/>
      <c r="E9" s="20">
        <f>C9</f>
        <v>785377</v>
      </c>
      <c r="F9" s="44"/>
      <c r="G9" s="20">
        <f>Workings!C7</f>
        <v>196347</v>
      </c>
      <c r="H9" s="44"/>
      <c r="I9" s="50">
        <f>G9/E9</f>
        <v>0.2500035015030998</v>
      </c>
      <c r="J9" s="22"/>
      <c r="K9" s="45"/>
    </row>
    <row r="10" spans="2:11" x14ac:dyDescent="0.2">
      <c r="B10" s="48" t="s">
        <v>53</v>
      </c>
      <c r="C10" s="20">
        <f>Workings!B8</f>
        <v>197364</v>
      </c>
      <c r="D10" s="20"/>
      <c r="E10" s="20">
        <f t="shared" ref="E10:E13" si="0">C10</f>
        <v>197364</v>
      </c>
      <c r="F10" s="44"/>
      <c r="G10" s="20">
        <f>Workings!C8</f>
        <v>40720.51</v>
      </c>
      <c r="H10" s="44"/>
      <c r="I10" s="50">
        <f t="shared" ref="I10:I13" si="1">G10/E10</f>
        <v>0.20632187227660567</v>
      </c>
      <c r="J10" s="22"/>
      <c r="K10" s="45"/>
    </row>
    <row r="11" spans="2:11" x14ac:dyDescent="0.2">
      <c r="B11" s="48" t="s">
        <v>54</v>
      </c>
      <c r="C11" s="20">
        <f>Workings!B9</f>
        <v>11983</v>
      </c>
      <c r="D11" s="20"/>
      <c r="E11" s="20">
        <f t="shared" si="0"/>
        <v>11983</v>
      </c>
      <c r="F11" s="44"/>
      <c r="G11" s="20">
        <f>Workings!C9</f>
        <v>2433.39</v>
      </c>
      <c r="H11" s="44"/>
      <c r="I11" s="50">
        <f t="shared" si="1"/>
        <v>0.20307018275890845</v>
      </c>
      <c r="J11" s="22"/>
      <c r="K11" s="45"/>
    </row>
    <row r="12" spans="2:11" x14ac:dyDescent="0.2">
      <c r="B12" s="48" t="s">
        <v>55</v>
      </c>
      <c r="C12" s="20">
        <f>Workings!B10</f>
        <v>1394</v>
      </c>
      <c r="D12" s="20"/>
      <c r="E12" s="20">
        <f t="shared" si="0"/>
        <v>1394</v>
      </c>
      <c r="F12" s="44"/>
      <c r="G12" s="20">
        <f>Workings!C10</f>
        <v>0</v>
      </c>
      <c r="H12" s="44"/>
      <c r="I12" s="50">
        <f t="shared" si="1"/>
        <v>0</v>
      </c>
      <c r="J12" s="22" t="s">
        <v>146</v>
      </c>
      <c r="K12" s="45"/>
    </row>
    <row r="13" spans="2:11" ht="13.5" thickBot="1" x14ac:dyDescent="0.25">
      <c r="B13" s="48" t="s">
        <v>56</v>
      </c>
      <c r="C13" s="20">
        <f>Workings!B11</f>
        <v>3813</v>
      </c>
      <c r="D13" s="20"/>
      <c r="E13" s="20">
        <f t="shared" si="0"/>
        <v>3813</v>
      </c>
      <c r="F13" s="44"/>
      <c r="G13" s="20">
        <f>Workings!C11</f>
        <v>1368.3</v>
      </c>
      <c r="H13" s="44"/>
      <c r="I13" s="50">
        <f t="shared" si="1"/>
        <v>0.35885129819040124</v>
      </c>
      <c r="J13" s="22"/>
      <c r="K13" s="45"/>
    </row>
    <row r="14" spans="2:11" ht="13.5" thickBot="1" x14ac:dyDescent="0.25">
      <c r="B14" s="43" t="s">
        <v>98</v>
      </c>
      <c r="C14" s="10">
        <f>SUM(C9:C13)</f>
        <v>999931</v>
      </c>
      <c r="D14" s="11"/>
      <c r="E14" s="10">
        <f>SUM(E9:E13)</f>
        <v>999931</v>
      </c>
      <c r="F14" s="44"/>
      <c r="G14" s="10">
        <f>SUM(G9:G13)</f>
        <v>240869.2</v>
      </c>
      <c r="H14" s="44"/>
      <c r="I14" s="50"/>
      <c r="J14" s="22"/>
      <c r="K14" s="45"/>
    </row>
    <row r="15" spans="2:11" x14ac:dyDescent="0.2">
      <c r="B15" s="48"/>
      <c r="C15" s="18"/>
      <c r="D15" s="18"/>
      <c r="E15" s="18"/>
      <c r="F15" s="44"/>
      <c r="G15" s="18"/>
      <c r="H15" s="44"/>
      <c r="I15" s="50"/>
      <c r="J15" s="22"/>
      <c r="K15" s="45"/>
    </row>
    <row r="16" spans="2:11" x14ac:dyDescent="0.2">
      <c r="B16" s="43" t="s">
        <v>57</v>
      </c>
      <c r="C16" s="18"/>
      <c r="D16" s="18"/>
      <c r="E16" s="18"/>
      <c r="F16" s="44"/>
      <c r="G16" s="18"/>
      <c r="H16" s="44"/>
      <c r="I16" s="50"/>
      <c r="J16" s="22"/>
      <c r="K16" s="45"/>
    </row>
    <row r="17" spans="2:11" x14ac:dyDescent="0.2">
      <c r="B17" s="51" t="s">
        <v>58</v>
      </c>
      <c r="C17" s="18"/>
      <c r="D17" s="18"/>
      <c r="E17" s="18"/>
      <c r="F17" s="44"/>
      <c r="G17" s="18"/>
      <c r="H17" s="44"/>
      <c r="I17" s="50"/>
      <c r="J17" s="22"/>
      <c r="K17" s="45"/>
    </row>
    <row r="18" spans="2:11" x14ac:dyDescent="0.2">
      <c r="B18" s="48" t="s">
        <v>59</v>
      </c>
      <c r="C18" s="20">
        <f>Workings!B20</f>
        <v>271708</v>
      </c>
      <c r="D18" s="21"/>
      <c r="E18" s="20">
        <f>C18</f>
        <v>271708</v>
      </c>
      <c r="F18" s="44"/>
      <c r="G18" s="20">
        <f>Workings!C20</f>
        <v>64783.169999999991</v>
      </c>
      <c r="H18" s="44"/>
      <c r="I18" s="50">
        <f>G18/E18</f>
        <v>0.23842938006978076</v>
      </c>
      <c r="J18" s="22"/>
      <c r="K18" s="45"/>
    </row>
    <row r="19" spans="2:11" x14ac:dyDescent="0.2">
      <c r="B19" s="48" t="s">
        <v>60</v>
      </c>
      <c r="C19" s="20">
        <f>Workings!B21</f>
        <v>12702</v>
      </c>
      <c r="D19" s="20"/>
      <c r="E19" s="20">
        <f t="shared" ref="E19:E25" si="2">C19</f>
        <v>12702</v>
      </c>
      <c r="F19" s="44"/>
      <c r="G19" s="20">
        <f>Workings!C21</f>
        <v>1544.08</v>
      </c>
      <c r="H19" s="44"/>
      <c r="I19" s="50">
        <f t="shared" ref="I19:I24" si="3">G19/E19</f>
        <v>0.12156195874665407</v>
      </c>
      <c r="J19" s="22"/>
      <c r="K19" s="45"/>
    </row>
    <row r="20" spans="2:11" x14ac:dyDescent="0.2">
      <c r="B20" s="48" t="s">
        <v>61</v>
      </c>
      <c r="C20" s="20">
        <f>Workings!B22</f>
        <v>31471</v>
      </c>
      <c r="D20" s="20"/>
      <c r="E20" s="20">
        <f t="shared" si="2"/>
        <v>31471</v>
      </c>
      <c r="F20" s="44"/>
      <c r="G20" s="20">
        <f>Workings!C22</f>
        <v>7755.52</v>
      </c>
      <c r="H20" s="44"/>
      <c r="I20" s="50">
        <f t="shared" si="3"/>
        <v>0.2464338597438912</v>
      </c>
      <c r="J20" s="22"/>
      <c r="K20" s="45"/>
    </row>
    <row r="21" spans="2:11" x14ac:dyDescent="0.2">
      <c r="B21" s="48" t="s">
        <v>62</v>
      </c>
      <c r="C21" s="20">
        <f>Workings!B23</f>
        <v>71224</v>
      </c>
      <c r="D21" s="20"/>
      <c r="E21" s="20">
        <f t="shared" si="2"/>
        <v>71224</v>
      </c>
      <c r="F21" s="44"/>
      <c r="G21" s="20">
        <f>Workings!C23</f>
        <v>17808</v>
      </c>
      <c r="H21" s="44"/>
      <c r="I21" s="50">
        <f t="shared" si="3"/>
        <v>0.25002808042232955</v>
      </c>
      <c r="J21" s="22"/>
      <c r="K21" s="45"/>
    </row>
    <row r="22" spans="2:11" x14ac:dyDescent="0.2">
      <c r="B22" s="48" t="s">
        <v>63</v>
      </c>
      <c r="C22" s="20">
        <f>Workings!B24</f>
        <v>32795</v>
      </c>
      <c r="D22" s="20"/>
      <c r="E22" s="20">
        <f t="shared" si="2"/>
        <v>32795</v>
      </c>
      <c r="F22" s="44"/>
      <c r="G22" s="20">
        <f>Workings!C24</f>
        <v>8198.75</v>
      </c>
      <c r="H22" s="44"/>
      <c r="I22" s="50">
        <f t="shared" si="3"/>
        <v>0.25</v>
      </c>
      <c r="J22" s="52" t="s">
        <v>158</v>
      </c>
      <c r="K22" s="45"/>
    </row>
    <row r="23" spans="2:11" x14ac:dyDescent="0.2">
      <c r="B23" s="48" t="s">
        <v>64</v>
      </c>
      <c r="C23" s="20">
        <f>Workings!B25</f>
        <v>15737</v>
      </c>
      <c r="D23" s="20"/>
      <c r="E23" s="20">
        <f t="shared" si="2"/>
        <v>15737</v>
      </c>
      <c r="F23" s="44"/>
      <c r="G23" s="20">
        <f>Workings!C25</f>
        <v>3380.63</v>
      </c>
      <c r="H23" s="44"/>
      <c r="I23" s="50">
        <f t="shared" si="3"/>
        <v>0.21482048675096907</v>
      </c>
      <c r="J23" s="22"/>
      <c r="K23" s="45"/>
    </row>
    <row r="24" spans="2:11" x14ac:dyDescent="0.2">
      <c r="B24" s="48" t="s">
        <v>65</v>
      </c>
      <c r="C24" s="20">
        <f>Workings!B26</f>
        <v>10080</v>
      </c>
      <c r="D24" s="20"/>
      <c r="E24" s="20">
        <f t="shared" si="2"/>
        <v>10080</v>
      </c>
      <c r="F24" s="44"/>
      <c r="G24" s="20">
        <f>Workings!C26</f>
        <v>2520</v>
      </c>
      <c r="H24" s="44"/>
      <c r="I24" s="50">
        <f t="shared" si="3"/>
        <v>0.25</v>
      </c>
      <c r="J24" s="22"/>
      <c r="K24" s="45"/>
    </row>
    <row r="25" spans="2:11" ht="13.5" thickBot="1" x14ac:dyDescent="0.25">
      <c r="B25" s="48" t="s">
        <v>66</v>
      </c>
      <c r="C25" s="20">
        <f>Workings!B27</f>
        <v>0</v>
      </c>
      <c r="D25" s="20"/>
      <c r="E25" s="20">
        <f t="shared" si="2"/>
        <v>0</v>
      </c>
      <c r="F25" s="44"/>
      <c r="G25" s="20">
        <f>Workings!C27</f>
        <v>337.62</v>
      </c>
      <c r="H25" s="44"/>
      <c r="I25" s="50"/>
      <c r="J25" s="22" t="s">
        <v>174</v>
      </c>
      <c r="K25" s="45"/>
    </row>
    <row r="26" spans="2:11" ht="13.5" thickBot="1" x14ac:dyDescent="0.25">
      <c r="B26" s="48"/>
      <c r="C26" s="10">
        <f>SUM(C18:C25)</f>
        <v>445717</v>
      </c>
      <c r="D26" s="11"/>
      <c r="E26" s="10">
        <f>SUM(E18:E25)</f>
        <v>445717</v>
      </c>
      <c r="F26" s="44"/>
      <c r="G26" s="10">
        <f>SUM(G18:G25)</f>
        <v>106327.76999999999</v>
      </c>
      <c r="H26" s="44"/>
      <c r="I26" s="50"/>
      <c r="J26" s="22"/>
      <c r="K26" s="45"/>
    </row>
    <row r="27" spans="2:11" x14ac:dyDescent="0.2">
      <c r="B27" s="51" t="s">
        <v>67</v>
      </c>
      <c r="C27" s="18"/>
      <c r="D27" s="18"/>
      <c r="E27" s="18"/>
      <c r="F27" s="44"/>
      <c r="G27" s="18"/>
      <c r="H27" s="44"/>
      <c r="I27" s="50"/>
      <c r="J27" s="22"/>
      <c r="K27" s="45"/>
    </row>
    <row r="28" spans="2:11" x14ac:dyDescent="0.2">
      <c r="B28" s="48" t="s">
        <v>68</v>
      </c>
      <c r="C28" s="20">
        <f>Workings!B30</f>
        <v>107584</v>
      </c>
      <c r="D28" s="20"/>
      <c r="E28" s="20">
        <f>C28</f>
        <v>107584</v>
      </c>
      <c r="F28" s="44"/>
      <c r="G28" s="20">
        <f>Workings!C30</f>
        <v>25711.899999999998</v>
      </c>
      <c r="H28" s="44"/>
      <c r="I28" s="50">
        <f>(G28+G29)/E28</f>
        <v>0.36333711332540147</v>
      </c>
      <c r="J28" s="52" t="s">
        <v>145</v>
      </c>
      <c r="K28" s="45"/>
    </row>
    <row r="29" spans="2:11" x14ac:dyDescent="0.2">
      <c r="B29" s="48" t="s">
        <v>113</v>
      </c>
      <c r="C29" s="20">
        <f>Workings!B31</f>
        <v>0</v>
      </c>
      <c r="D29" s="20"/>
      <c r="E29" s="20">
        <f t="shared" ref="E29:E31" si="4">C29</f>
        <v>0</v>
      </c>
      <c r="F29" s="44"/>
      <c r="G29" s="20">
        <f>Workings!C31</f>
        <v>13377.36</v>
      </c>
      <c r="H29" s="44"/>
      <c r="I29" s="50"/>
      <c r="J29" s="22"/>
      <c r="K29" s="45"/>
    </row>
    <row r="30" spans="2:11" x14ac:dyDescent="0.2">
      <c r="B30" s="48" t="s">
        <v>69</v>
      </c>
      <c r="C30" s="20">
        <f>Workings!B32</f>
        <v>42181</v>
      </c>
      <c r="D30" s="20"/>
      <c r="E30" s="20">
        <f t="shared" si="4"/>
        <v>42181</v>
      </c>
      <c r="F30" s="44"/>
      <c r="G30" s="20">
        <f>Workings!C32</f>
        <v>10545</v>
      </c>
      <c r="H30" s="44"/>
      <c r="I30" s="50">
        <f t="shared" ref="I30:I31" si="5">G30/E30</f>
        <v>0.24999407316090183</v>
      </c>
      <c r="J30" s="22"/>
      <c r="K30" s="45"/>
    </row>
    <row r="31" spans="2:11" ht="13.5" thickBot="1" x14ac:dyDescent="0.25">
      <c r="B31" s="48" t="s">
        <v>70</v>
      </c>
      <c r="C31" s="20">
        <f>Workings!B33</f>
        <v>4561</v>
      </c>
      <c r="D31" s="20"/>
      <c r="E31" s="20">
        <f t="shared" si="4"/>
        <v>4561</v>
      </c>
      <c r="F31" s="44"/>
      <c r="G31" s="20">
        <f>Workings!C33</f>
        <v>0</v>
      </c>
      <c r="H31" s="44"/>
      <c r="I31" s="50">
        <f t="shared" si="5"/>
        <v>0</v>
      </c>
      <c r="J31" s="22"/>
      <c r="K31" s="45"/>
    </row>
    <row r="32" spans="2:11" ht="13.5" thickBot="1" x14ac:dyDescent="0.25">
      <c r="B32" s="48"/>
      <c r="C32" s="10">
        <f>SUM(C28:C31)</f>
        <v>154326</v>
      </c>
      <c r="D32" s="11"/>
      <c r="E32" s="10">
        <f>SUM(E28:E31)</f>
        <v>154326</v>
      </c>
      <c r="F32" s="44"/>
      <c r="G32" s="10">
        <f>SUM(G28:G31)</f>
        <v>49634.259999999995</v>
      </c>
      <c r="H32" s="44"/>
      <c r="I32" s="50"/>
      <c r="J32" s="22"/>
      <c r="K32" s="45"/>
    </row>
    <row r="33" spans="2:11" x14ac:dyDescent="0.2">
      <c r="B33" s="51" t="s">
        <v>71</v>
      </c>
      <c r="C33" s="18"/>
      <c r="D33" s="18"/>
      <c r="E33" s="18"/>
      <c r="F33" s="44"/>
      <c r="G33" s="18"/>
      <c r="H33" s="44"/>
      <c r="I33" s="50"/>
      <c r="J33" s="22"/>
      <c r="K33" s="45"/>
    </row>
    <row r="34" spans="2:11" x14ac:dyDescent="0.2">
      <c r="B34" s="48" t="s">
        <v>73</v>
      </c>
      <c r="C34" s="20">
        <f>Workings!B37</f>
        <v>15000</v>
      </c>
      <c r="D34" s="20"/>
      <c r="E34" s="20">
        <f>C34</f>
        <v>15000</v>
      </c>
      <c r="F34" s="44"/>
      <c r="G34" s="20">
        <f>Workings!C37</f>
        <v>1550.45</v>
      </c>
      <c r="H34" s="44"/>
      <c r="I34" s="50">
        <f t="shared" ref="I34:I35" si="6">G34/E34</f>
        <v>0.10336333333333333</v>
      </c>
      <c r="J34" s="22"/>
      <c r="K34" s="45"/>
    </row>
    <row r="35" spans="2:11" ht="13.5" thickBot="1" x14ac:dyDescent="0.25">
      <c r="B35" s="48" t="s">
        <v>74</v>
      </c>
      <c r="C35" s="20">
        <f>Workings!B38</f>
        <v>52788</v>
      </c>
      <c r="D35" s="20"/>
      <c r="E35" s="20">
        <f>C35</f>
        <v>52788</v>
      </c>
      <c r="F35" s="44"/>
      <c r="G35" s="20">
        <f>Workings!C38</f>
        <v>9357.01</v>
      </c>
      <c r="H35" s="44"/>
      <c r="I35" s="50">
        <f t="shared" si="6"/>
        <v>0.17725638402667274</v>
      </c>
      <c r="J35" s="52"/>
      <c r="K35" s="45"/>
    </row>
    <row r="36" spans="2:11" ht="13.5" thickBot="1" x14ac:dyDescent="0.25">
      <c r="B36" s="48"/>
      <c r="C36" s="10">
        <f>SUM(C34:C35)</f>
        <v>67788</v>
      </c>
      <c r="D36" s="11"/>
      <c r="E36" s="10">
        <f>SUM(E34:E35)</f>
        <v>67788</v>
      </c>
      <c r="F36" s="44"/>
      <c r="G36" s="10">
        <f>SUM(G34:G35)</f>
        <v>10907.460000000001</v>
      </c>
      <c r="H36" s="44"/>
      <c r="I36" s="50"/>
      <c r="J36" s="22"/>
      <c r="K36" s="45"/>
    </row>
    <row r="37" spans="2:11" x14ac:dyDescent="0.2">
      <c r="B37" s="51" t="s">
        <v>75</v>
      </c>
      <c r="C37" s="18"/>
      <c r="D37" s="18"/>
      <c r="E37" s="18"/>
      <c r="F37" s="44"/>
      <c r="G37" s="18"/>
      <c r="H37" s="44"/>
      <c r="I37" s="50"/>
      <c r="J37" s="22"/>
      <c r="K37" s="45"/>
    </row>
    <row r="38" spans="2:11" x14ac:dyDescent="0.2">
      <c r="B38" s="48" t="s">
        <v>93</v>
      </c>
      <c r="C38" s="20">
        <f>Workings!B41</f>
        <v>24000</v>
      </c>
      <c r="D38" s="20"/>
      <c r="E38" s="20">
        <f>C38</f>
        <v>24000</v>
      </c>
      <c r="F38" s="44"/>
      <c r="G38" s="20">
        <f>Workings!C41</f>
        <v>4404.38</v>
      </c>
      <c r="H38" s="44"/>
      <c r="I38" s="50">
        <f>G38/E38</f>
        <v>0.18351583333333335</v>
      </c>
      <c r="J38" s="22"/>
      <c r="K38" s="45"/>
    </row>
    <row r="39" spans="2:11" x14ac:dyDescent="0.2">
      <c r="B39" s="48" t="s">
        <v>94</v>
      </c>
      <c r="C39" s="20">
        <f>Workings!B42</f>
        <v>25928</v>
      </c>
      <c r="D39" s="20"/>
      <c r="E39" s="20">
        <f t="shared" ref="E39:E43" si="7">C39</f>
        <v>25928</v>
      </c>
      <c r="F39" s="44"/>
      <c r="G39" s="20">
        <f>Workings!C42</f>
        <v>15376.52</v>
      </c>
      <c r="H39" s="44"/>
      <c r="I39" s="50">
        <f t="shared" ref="I39:I43" si="8">G39/E39</f>
        <v>0.59304689910521446</v>
      </c>
      <c r="J39" s="22" t="s">
        <v>175</v>
      </c>
      <c r="K39" s="45"/>
    </row>
    <row r="40" spans="2:11" x14ac:dyDescent="0.2">
      <c r="B40" s="48" t="s">
        <v>76</v>
      </c>
      <c r="C40" s="20">
        <f>Workings!B43</f>
        <v>2500</v>
      </c>
      <c r="D40" s="20"/>
      <c r="E40" s="20">
        <f t="shared" si="7"/>
        <v>2500</v>
      </c>
      <c r="F40" s="44"/>
      <c r="G40" s="20">
        <f>Workings!C43</f>
        <v>617.20000000000005</v>
      </c>
      <c r="H40" s="44"/>
      <c r="I40" s="50">
        <f t="shared" si="8"/>
        <v>0.24688000000000002</v>
      </c>
      <c r="J40" s="22"/>
      <c r="K40" s="45"/>
    </row>
    <row r="41" spans="2:11" x14ac:dyDescent="0.2">
      <c r="B41" s="48" t="s">
        <v>164</v>
      </c>
      <c r="C41" s="20">
        <f>Workings!B44</f>
        <v>1056</v>
      </c>
      <c r="D41" s="20"/>
      <c r="E41" s="20">
        <f t="shared" si="7"/>
        <v>1056</v>
      </c>
      <c r="F41" s="44"/>
      <c r="G41" s="20">
        <f>Workings!C44</f>
        <v>58.21</v>
      </c>
      <c r="H41" s="44"/>
      <c r="I41" s="50">
        <f t="shared" si="8"/>
        <v>5.512310606060606E-2</v>
      </c>
      <c r="J41" s="22"/>
      <c r="K41" s="45"/>
    </row>
    <row r="42" spans="2:11" x14ac:dyDescent="0.2">
      <c r="B42" s="48" t="s">
        <v>118</v>
      </c>
      <c r="C42" s="20">
        <f>Workings!B45</f>
        <v>10300</v>
      </c>
      <c r="D42" s="20"/>
      <c r="E42" s="20">
        <f t="shared" si="7"/>
        <v>10300</v>
      </c>
      <c r="F42" s="44"/>
      <c r="G42" s="20">
        <f>Workings!C45</f>
        <v>0</v>
      </c>
      <c r="H42" s="44"/>
      <c r="I42" s="50">
        <f t="shared" si="8"/>
        <v>0</v>
      </c>
      <c r="J42" s="22"/>
      <c r="K42" s="45"/>
    </row>
    <row r="43" spans="2:11" ht="13.5" thickBot="1" x14ac:dyDescent="0.25">
      <c r="B43" s="48" t="s">
        <v>77</v>
      </c>
      <c r="C43" s="20">
        <f>Workings!B46</f>
        <v>500</v>
      </c>
      <c r="D43" s="20"/>
      <c r="E43" s="20">
        <f t="shared" si="7"/>
        <v>500</v>
      </c>
      <c r="F43" s="44"/>
      <c r="G43" s="20">
        <f>Workings!C46</f>
        <v>0</v>
      </c>
      <c r="H43" s="44"/>
      <c r="I43" s="50">
        <f t="shared" si="8"/>
        <v>0</v>
      </c>
      <c r="J43" s="22"/>
      <c r="K43" s="45"/>
    </row>
    <row r="44" spans="2:11" ht="13.5" thickBot="1" x14ac:dyDescent="0.25">
      <c r="B44" s="48"/>
      <c r="C44" s="10">
        <f>SUM(C38:C43)</f>
        <v>64284</v>
      </c>
      <c r="D44" s="11"/>
      <c r="E44" s="10">
        <f>SUM(E38:E43)</f>
        <v>64284</v>
      </c>
      <c r="F44" s="44"/>
      <c r="G44" s="10">
        <f>SUM(G38:G43)</f>
        <v>20456.310000000001</v>
      </c>
      <c r="H44" s="44"/>
      <c r="I44" s="50"/>
      <c r="J44" s="22"/>
      <c r="K44" s="45"/>
    </row>
    <row r="45" spans="2:11" x14ac:dyDescent="0.2">
      <c r="B45" s="43" t="s">
        <v>99</v>
      </c>
      <c r="C45" s="11">
        <f>C44+C36+C32+C26</f>
        <v>732115</v>
      </c>
      <c r="D45" s="11"/>
      <c r="E45" s="11">
        <f>E44+E36+E32+E26</f>
        <v>732115</v>
      </c>
      <c r="F45" s="44"/>
      <c r="G45" s="11">
        <f>G44+G36+G32+G26</f>
        <v>187325.8</v>
      </c>
      <c r="H45" s="44"/>
      <c r="I45" s="50"/>
      <c r="J45" s="22"/>
      <c r="K45" s="45"/>
    </row>
    <row r="46" spans="2:11" x14ac:dyDescent="0.2">
      <c r="B46" s="48"/>
      <c r="C46" s="11"/>
      <c r="D46" s="11"/>
      <c r="E46" s="11"/>
      <c r="F46" s="44"/>
      <c r="G46" s="11"/>
      <c r="H46" s="44"/>
      <c r="I46" s="50"/>
      <c r="J46" s="22"/>
      <c r="K46" s="45"/>
    </row>
    <row r="47" spans="2:11" ht="13.5" thickBot="1" x14ac:dyDescent="0.25">
      <c r="B47" s="48"/>
      <c r="C47" s="12"/>
      <c r="D47" s="11"/>
      <c r="E47" s="12"/>
      <c r="F47" s="44"/>
      <c r="G47" s="12"/>
      <c r="H47" s="44"/>
      <c r="I47" s="50"/>
      <c r="J47" s="22"/>
      <c r="K47" s="45"/>
    </row>
    <row r="48" spans="2:11" ht="27" customHeight="1" x14ac:dyDescent="0.2">
      <c r="B48" s="48" t="s">
        <v>100</v>
      </c>
      <c r="C48" s="11">
        <f>C14-C26-C32-C36-C44</f>
        <v>267816</v>
      </c>
      <c r="D48" s="11"/>
      <c r="E48" s="11">
        <f>E14-E26-E32-E36-E44</f>
        <v>267816</v>
      </c>
      <c r="F48" s="44"/>
      <c r="G48" s="11">
        <f>G14-G26-G32-G36-G44</f>
        <v>53543.400000000023</v>
      </c>
      <c r="H48" s="44"/>
      <c r="I48" s="50"/>
      <c r="J48" s="62" t="s">
        <v>157</v>
      </c>
      <c r="K48" s="45"/>
    </row>
    <row r="49" spans="2:11" ht="13.5" thickBot="1" x14ac:dyDescent="0.25">
      <c r="B49" s="53"/>
      <c r="C49" s="54"/>
      <c r="D49" s="54"/>
      <c r="E49" s="54"/>
      <c r="F49" s="55"/>
      <c r="G49" s="54"/>
      <c r="H49" s="55"/>
      <c r="I49" s="56"/>
      <c r="J49" s="54"/>
      <c r="K49" s="57"/>
    </row>
    <row r="50" spans="2:11" x14ac:dyDescent="0.2">
      <c r="B50"/>
      <c r="C50"/>
      <c r="D50" s="22"/>
      <c r="E50"/>
      <c r="G50"/>
      <c r="I50" s="25"/>
    </row>
    <row r="51" spans="2:11" ht="13.5" thickBot="1" x14ac:dyDescent="0.25">
      <c r="B51"/>
      <c r="C51"/>
      <c r="D51" s="22"/>
      <c r="E51"/>
      <c r="G51"/>
      <c r="I51" s="25"/>
    </row>
    <row r="52" spans="2:11" x14ac:dyDescent="0.2">
      <c r="B52" s="67" t="s">
        <v>152</v>
      </c>
      <c r="C52" s="68"/>
      <c r="D52" s="68"/>
      <c r="E52" s="68"/>
      <c r="F52" s="68"/>
      <c r="G52" s="68"/>
      <c r="H52" s="68"/>
      <c r="I52" s="68"/>
      <c r="J52" s="68"/>
      <c r="K52" s="69"/>
    </row>
    <row r="53" spans="2:11" x14ac:dyDescent="0.2">
      <c r="B53" s="70" t="s">
        <v>159</v>
      </c>
      <c r="C53" s="71"/>
      <c r="D53" s="71"/>
      <c r="E53" s="71"/>
      <c r="F53" s="71"/>
      <c r="G53" s="71"/>
      <c r="H53" s="71"/>
      <c r="I53" s="71"/>
      <c r="J53" s="71"/>
      <c r="K53" s="72"/>
    </row>
    <row r="54" spans="2:11" x14ac:dyDescent="0.2">
      <c r="B54" s="59"/>
      <c r="C54" s="60"/>
      <c r="D54" s="60"/>
      <c r="E54" s="60"/>
      <c r="F54" s="60"/>
      <c r="G54" s="60"/>
      <c r="H54" s="60"/>
      <c r="I54" s="60"/>
      <c r="J54" s="60"/>
      <c r="K54" s="61"/>
    </row>
    <row r="55" spans="2:11" ht="38.25" x14ac:dyDescent="0.2">
      <c r="B55" s="43"/>
      <c r="C55" s="46" t="s">
        <v>153</v>
      </c>
      <c r="D55" s="38"/>
      <c r="E55" s="46" t="str">
        <f>E6</f>
        <v>Revised Budget as at  30/09/2014</v>
      </c>
      <c r="F55" s="47"/>
      <c r="G55" s="46" t="str">
        <f>G6</f>
        <v>Actual Expenditure to 30/9/14</v>
      </c>
      <c r="H55" s="47"/>
      <c r="I55" s="46" t="s">
        <v>154</v>
      </c>
      <c r="J55" s="58" t="s">
        <v>155</v>
      </c>
      <c r="K55" s="45"/>
    </row>
    <row r="56" spans="2:11" x14ac:dyDescent="0.2">
      <c r="B56" s="48"/>
      <c r="C56" s="19"/>
      <c r="D56" s="19"/>
      <c r="E56" s="19"/>
      <c r="F56" s="44"/>
      <c r="G56" s="19"/>
      <c r="H56" s="44"/>
      <c r="I56" s="49"/>
      <c r="J56" s="22"/>
      <c r="K56" s="45"/>
    </row>
    <row r="57" spans="2:11" x14ac:dyDescent="0.2">
      <c r="B57" s="43" t="s">
        <v>51</v>
      </c>
      <c r="C57" s="18"/>
      <c r="D57" s="18"/>
      <c r="E57" s="18"/>
      <c r="F57" s="44"/>
      <c r="G57" s="18"/>
      <c r="H57" s="44"/>
      <c r="I57" s="22"/>
      <c r="J57" s="22"/>
      <c r="K57" s="45"/>
    </row>
    <row r="58" spans="2:11" x14ac:dyDescent="0.2">
      <c r="B58" s="48" t="s">
        <v>160</v>
      </c>
      <c r="C58" s="20">
        <f>Workings!B56</f>
        <v>0</v>
      </c>
      <c r="D58" s="20"/>
      <c r="E58" s="20">
        <v>0</v>
      </c>
      <c r="F58" s="44"/>
      <c r="G58" s="20">
        <v>628.88</v>
      </c>
      <c r="H58" s="44"/>
      <c r="I58" s="50"/>
      <c r="J58" s="22"/>
      <c r="K58" s="45"/>
    </row>
    <row r="59" spans="2:11" ht="13.5" thickBot="1" x14ac:dyDescent="0.25">
      <c r="B59" s="48" t="s">
        <v>161</v>
      </c>
      <c r="C59" s="20">
        <f>Workings!B60</f>
        <v>0</v>
      </c>
      <c r="D59" s="20"/>
      <c r="E59" s="20">
        <f t="shared" ref="E59" si="9">C59</f>
        <v>0</v>
      </c>
      <c r="F59" s="44"/>
      <c r="G59" s="20">
        <v>107.58</v>
      </c>
      <c r="H59" s="44"/>
      <c r="I59" s="50"/>
      <c r="J59" s="22"/>
      <c r="K59" s="45"/>
    </row>
    <row r="60" spans="2:11" ht="13.5" thickBot="1" x14ac:dyDescent="0.25">
      <c r="B60" s="43" t="s">
        <v>98</v>
      </c>
      <c r="C60" s="10">
        <f>SUM(C58:C59)</f>
        <v>0</v>
      </c>
      <c r="D60" s="11"/>
      <c r="E60" s="10">
        <f>SUM(E58:E59)</f>
        <v>0</v>
      </c>
      <c r="F60" s="44"/>
      <c r="G60" s="10">
        <f>SUM(G58:G59)</f>
        <v>736.46</v>
      </c>
      <c r="H60" s="44"/>
      <c r="I60" s="50"/>
      <c r="J60" s="22"/>
      <c r="K60" s="45"/>
    </row>
    <row r="61" spans="2:11" x14ac:dyDescent="0.2">
      <c r="B61" s="48"/>
      <c r="C61" s="18"/>
      <c r="D61" s="18"/>
      <c r="E61" s="18"/>
      <c r="F61" s="44"/>
      <c r="G61" s="18"/>
      <c r="H61" s="44"/>
      <c r="I61" s="50"/>
      <c r="J61" s="22"/>
      <c r="K61" s="45"/>
    </row>
    <row r="62" spans="2:11" x14ac:dyDescent="0.2">
      <c r="B62" s="43" t="s">
        <v>57</v>
      </c>
      <c r="C62" s="18"/>
      <c r="D62" s="18"/>
      <c r="E62" s="18"/>
      <c r="F62" s="44"/>
      <c r="G62" s="18"/>
      <c r="H62" s="44"/>
      <c r="I62" s="50"/>
      <c r="J62" s="22"/>
      <c r="K62" s="45"/>
    </row>
    <row r="63" spans="2:11" x14ac:dyDescent="0.2">
      <c r="B63" s="51" t="s">
        <v>165</v>
      </c>
      <c r="C63" s="18"/>
      <c r="D63" s="18"/>
      <c r="E63" s="18"/>
      <c r="F63" s="44"/>
      <c r="G63" s="18"/>
      <c r="H63" s="44"/>
      <c r="I63" s="50"/>
      <c r="J63" s="22"/>
      <c r="K63" s="45"/>
    </row>
    <row r="64" spans="2:11" x14ac:dyDescent="0.2">
      <c r="B64" s="48" t="s">
        <v>162</v>
      </c>
      <c r="C64" s="20">
        <v>268000</v>
      </c>
      <c r="D64" s="21"/>
      <c r="E64" s="20">
        <f>C64+25490.98</f>
        <v>293490.98</v>
      </c>
      <c r="F64" s="44"/>
      <c r="G64" s="20">
        <f>117218.89+467.54</f>
        <v>117686.43</v>
      </c>
      <c r="H64" s="44"/>
      <c r="I64" s="50">
        <f t="shared" ref="I64" si="10">G64/E64</f>
        <v>0.40098823480026541</v>
      </c>
      <c r="J64" s="22"/>
      <c r="K64" s="45"/>
    </row>
    <row r="65" spans="2:11" ht="13.5" thickBot="1" x14ac:dyDescent="0.25">
      <c r="B65" s="48" t="s">
        <v>163</v>
      </c>
      <c r="C65" s="20">
        <f>Workings!B70</f>
        <v>0</v>
      </c>
      <c r="D65" s="20"/>
      <c r="E65" s="20">
        <f t="shared" ref="E65" si="11">C65</f>
        <v>0</v>
      </c>
      <c r="F65" s="44"/>
      <c r="G65" s="20">
        <f>Workings!C70</f>
        <v>0</v>
      </c>
      <c r="H65" s="44"/>
      <c r="I65" s="50"/>
      <c r="J65" s="22"/>
      <c r="K65" s="45"/>
    </row>
    <row r="66" spans="2:11" ht="13.5" thickBot="1" x14ac:dyDescent="0.25">
      <c r="B66" s="48"/>
      <c r="C66" s="10">
        <f>SUM(C64:C65)</f>
        <v>268000</v>
      </c>
      <c r="D66" s="11"/>
      <c r="E66" s="10">
        <f>SUM(E64:E65)</f>
        <v>293490.98</v>
      </c>
      <c r="F66" s="44"/>
      <c r="G66" s="10">
        <f>SUM(G64:G65)</f>
        <v>117686.43</v>
      </c>
      <c r="H66" s="44"/>
      <c r="I66" s="50"/>
      <c r="J66" s="22"/>
      <c r="K66" s="45"/>
    </row>
    <row r="67" spans="2:11" x14ac:dyDescent="0.2">
      <c r="B67" s="51" t="s">
        <v>166</v>
      </c>
      <c r="C67" s="18"/>
      <c r="D67" s="18"/>
      <c r="E67" s="18"/>
      <c r="F67" s="44"/>
      <c r="G67" s="18"/>
      <c r="H67" s="44"/>
      <c r="I67" s="50"/>
      <c r="J67" s="22"/>
      <c r="K67" s="45"/>
    </row>
    <row r="68" spans="2:11" x14ac:dyDescent="0.2">
      <c r="B68" s="48" t="s">
        <v>176</v>
      </c>
      <c r="C68" s="20">
        <f>Workings!B79</f>
        <v>0</v>
      </c>
      <c r="D68" s="20"/>
      <c r="E68" s="20">
        <f>C68</f>
        <v>0</v>
      </c>
      <c r="F68" s="44"/>
      <c r="G68" s="20">
        <f>Workings!C79</f>
        <v>0</v>
      </c>
      <c r="H68" s="44"/>
      <c r="I68" s="50"/>
      <c r="J68" s="52"/>
      <c r="K68" s="45"/>
    </row>
    <row r="69" spans="2:11" ht="13.5" thickBot="1" x14ac:dyDescent="0.25">
      <c r="B69" s="48" t="s">
        <v>176</v>
      </c>
      <c r="C69" s="20">
        <f>Workings!B80</f>
        <v>0</v>
      </c>
      <c r="D69" s="20"/>
      <c r="E69" s="20">
        <f t="shared" ref="E69" si="12">C69</f>
        <v>0</v>
      </c>
      <c r="F69" s="44"/>
      <c r="G69" s="20">
        <f>Workings!C80</f>
        <v>0</v>
      </c>
      <c r="H69" s="44"/>
      <c r="I69" s="50"/>
      <c r="J69" s="22"/>
      <c r="K69" s="45"/>
    </row>
    <row r="70" spans="2:11" ht="13.5" thickBot="1" x14ac:dyDescent="0.25">
      <c r="B70" s="48"/>
      <c r="C70" s="10">
        <f>SUM(C68:C69)</f>
        <v>0</v>
      </c>
      <c r="D70" s="11"/>
      <c r="E70" s="10">
        <f>SUM(E68:E69)</f>
        <v>0</v>
      </c>
      <c r="F70" s="44"/>
      <c r="G70" s="10">
        <f>SUM(G68:G69)</f>
        <v>0</v>
      </c>
      <c r="H70" s="44"/>
      <c r="I70" s="50"/>
      <c r="J70" s="22"/>
      <c r="K70" s="45"/>
    </row>
    <row r="71" spans="2:11" ht="13.5" thickBot="1" x14ac:dyDescent="0.25">
      <c r="B71" s="48"/>
      <c r="C71" s="10"/>
      <c r="D71" s="11"/>
      <c r="E71" s="10"/>
      <c r="F71" s="44"/>
      <c r="G71" s="10"/>
      <c r="H71" s="44"/>
      <c r="I71" s="50"/>
      <c r="J71" s="22"/>
      <c r="K71" s="45"/>
    </row>
    <row r="72" spans="2:11" x14ac:dyDescent="0.2">
      <c r="B72" s="43" t="s">
        <v>99</v>
      </c>
      <c r="C72" s="11">
        <f>C70+C66</f>
        <v>268000</v>
      </c>
      <c r="D72" s="11"/>
      <c r="E72" s="11">
        <f>E70+E66</f>
        <v>293490.98</v>
      </c>
      <c r="F72" s="44"/>
      <c r="G72" s="11">
        <f>G70+G66</f>
        <v>117686.43</v>
      </c>
      <c r="H72" s="44"/>
      <c r="I72" s="50"/>
      <c r="J72" s="22"/>
      <c r="K72" s="45"/>
    </row>
    <row r="73" spans="2:11" x14ac:dyDescent="0.2">
      <c r="B73" s="48"/>
      <c r="C73" s="11"/>
      <c r="D73" s="11"/>
      <c r="E73" s="11"/>
      <c r="F73" s="44"/>
      <c r="G73" s="11"/>
      <c r="H73" s="44"/>
      <c r="I73" s="50"/>
      <c r="J73" s="22"/>
      <c r="K73" s="45"/>
    </row>
    <row r="74" spans="2:11" ht="13.5" thickBot="1" x14ac:dyDescent="0.25">
      <c r="B74" s="48"/>
      <c r="C74" s="12"/>
      <c r="D74" s="11"/>
      <c r="E74" s="12"/>
      <c r="F74" s="44"/>
      <c r="G74" s="12"/>
      <c r="H74" s="44"/>
      <c r="I74" s="50"/>
      <c r="J74" s="22"/>
      <c r="K74" s="45"/>
    </row>
    <row r="75" spans="2:11" ht="25.5" x14ac:dyDescent="0.2">
      <c r="B75" s="48" t="s">
        <v>100</v>
      </c>
      <c r="C75" s="11">
        <f>C60-C72</f>
        <v>-268000</v>
      </c>
      <c r="D75" s="11"/>
      <c r="E75" s="11">
        <f>E60-E72</f>
        <v>-293490.98</v>
      </c>
      <c r="F75" s="44"/>
      <c r="G75" s="11">
        <f>G60-G72</f>
        <v>-116949.96999999999</v>
      </c>
      <c r="H75" s="44"/>
      <c r="I75" s="50"/>
      <c r="J75" s="62" t="s">
        <v>167</v>
      </c>
      <c r="K75" s="45"/>
    </row>
    <row r="76" spans="2:11" ht="13.5" thickBot="1" x14ac:dyDescent="0.25">
      <c r="B76" s="53"/>
      <c r="C76" s="54"/>
      <c r="D76" s="54"/>
      <c r="E76" s="54"/>
      <c r="F76" s="55"/>
      <c r="G76" s="54"/>
      <c r="H76" s="55"/>
      <c r="I76" s="56"/>
      <c r="J76" s="54"/>
      <c r="K76" s="57"/>
    </row>
    <row r="77" spans="2:11" x14ac:dyDescent="0.2">
      <c r="B77"/>
      <c r="C77"/>
      <c r="D77" s="22"/>
      <c r="E77"/>
      <c r="G77"/>
      <c r="I77" s="25"/>
    </row>
    <row r="78" spans="2:11" ht="13.5" thickBot="1" x14ac:dyDescent="0.25">
      <c r="B78"/>
      <c r="C78"/>
      <c r="D78" s="22"/>
      <c r="E78"/>
      <c r="G78"/>
      <c r="I78" s="25"/>
    </row>
    <row r="79" spans="2:11" x14ac:dyDescent="0.2">
      <c r="B79" s="39" t="s">
        <v>96</v>
      </c>
      <c r="C79" s="41"/>
      <c r="D79" s="41"/>
      <c r="E79" s="41"/>
      <c r="F79" s="40"/>
      <c r="G79" s="41"/>
      <c r="H79" s="40"/>
      <c r="I79" s="63"/>
      <c r="J79" s="41"/>
      <c r="K79" s="42"/>
    </row>
    <row r="80" spans="2:11" x14ac:dyDescent="0.2">
      <c r="B80" s="64"/>
      <c r="C80" s="23"/>
      <c r="D80" s="23"/>
      <c r="E80" s="23"/>
      <c r="F80" s="44"/>
      <c r="G80" s="23"/>
      <c r="H80" s="44"/>
      <c r="I80" s="50"/>
      <c r="J80" s="22"/>
      <c r="K80" s="45"/>
    </row>
    <row r="81" spans="2:11" x14ac:dyDescent="0.2">
      <c r="B81" s="64" t="s">
        <v>147</v>
      </c>
      <c r="C81" s="23">
        <v>735220.24</v>
      </c>
      <c r="D81" s="23"/>
      <c r="E81" s="50"/>
      <c r="F81" s="22"/>
      <c r="G81" s="50"/>
      <c r="H81" s="22"/>
      <c r="I81" s="22"/>
      <c r="J81" s="22"/>
      <c r="K81" s="45"/>
    </row>
    <row r="82" spans="2:11" x14ac:dyDescent="0.2">
      <c r="B82" s="64" t="s">
        <v>105</v>
      </c>
      <c r="C82" s="23"/>
      <c r="D82" s="23"/>
      <c r="E82" s="50"/>
      <c r="F82" s="22"/>
      <c r="G82" s="50"/>
      <c r="H82" s="22"/>
      <c r="I82" s="22"/>
      <c r="J82" s="22"/>
      <c r="K82" s="45"/>
    </row>
    <row r="83" spans="2:11" x14ac:dyDescent="0.2">
      <c r="B83" s="64" t="s">
        <v>120</v>
      </c>
      <c r="C83" s="23">
        <v>268000</v>
      </c>
      <c r="D83" s="23"/>
      <c r="E83" s="50"/>
      <c r="F83" s="22"/>
      <c r="G83" s="50"/>
      <c r="H83" s="22"/>
      <c r="I83" s="22"/>
      <c r="J83" s="22"/>
      <c r="K83" s="45"/>
    </row>
    <row r="84" spans="2:11" x14ac:dyDescent="0.2">
      <c r="B84" s="64" t="s">
        <v>151</v>
      </c>
      <c r="C84" s="23">
        <f>25490.98</f>
        <v>25490.98</v>
      </c>
      <c r="D84" s="23"/>
      <c r="E84" s="50"/>
      <c r="F84" s="22"/>
      <c r="G84" s="50"/>
      <c r="H84" s="22"/>
      <c r="I84" s="22"/>
      <c r="J84" s="22"/>
      <c r="K84" s="45"/>
    </row>
    <row r="85" spans="2:11" x14ac:dyDescent="0.2">
      <c r="B85" s="64"/>
      <c r="C85" s="23"/>
      <c r="D85" s="23"/>
      <c r="E85" s="50"/>
      <c r="F85" s="22"/>
      <c r="G85" s="50"/>
      <c r="H85" s="22"/>
      <c r="I85" s="22"/>
      <c r="J85" s="22"/>
      <c r="K85" s="45"/>
    </row>
    <row r="86" spans="2:11" x14ac:dyDescent="0.2">
      <c r="B86" s="64" t="s">
        <v>97</v>
      </c>
      <c r="C86" s="23"/>
      <c r="D86" s="23"/>
      <c r="E86" s="50"/>
      <c r="F86" s="22"/>
      <c r="G86" s="50"/>
      <c r="H86" s="22"/>
      <c r="I86" s="22"/>
      <c r="J86" s="22"/>
      <c r="K86" s="45"/>
    </row>
    <row r="87" spans="2:11" x14ac:dyDescent="0.2">
      <c r="B87" s="64" t="s">
        <v>121</v>
      </c>
      <c r="C87" s="23">
        <f>C48</f>
        <v>267816</v>
      </c>
      <c r="D87" s="23"/>
      <c r="E87" s="50"/>
      <c r="F87" s="22"/>
      <c r="G87" s="50"/>
      <c r="H87" s="22"/>
      <c r="I87" s="22"/>
      <c r="J87" s="22"/>
      <c r="K87" s="45"/>
    </row>
    <row r="88" spans="2:11" x14ac:dyDescent="0.2">
      <c r="B88" s="64"/>
      <c r="C88" s="23"/>
      <c r="D88" s="23"/>
      <c r="E88" s="50"/>
      <c r="F88" s="22"/>
      <c r="G88" s="50"/>
      <c r="H88" s="22"/>
      <c r="I88" s="22"/>
      <c r="J88" s="22"/>
      <c r="K88" s="45"/>
    </row>
    <row r="89" spans="2:11" x14ac:dyDescent="0.2">
      <c r="B89" s="64" t="s">
        <v>115</v>
      </c>
      <c r="C89" s="23">
        <f>C81-SUM(C83:C84)+C87</f>
        <v>709545.26</v>
      </c>
      <c r="D89" s="23"/>
      <c r="E89" s="50"/>
      <c r="F89" s="22"/>
      <c r="G89" s="50"/>
      <c r="H89" s="22"/>
      <c r="I89" s="22"/>
      <c r="J89" s="22"/>
      <c r="K89" s="45"/>
    </row>
    <row r="90" spans="2:11" x14ac:dyDescent="0.2">
      <c r="B90" s="64"/>
      <c r="C90" s="23"/>
      <c r="D90" s="23"/>
      <c r="E90" s="50"/>
      <c r="F90" s="22"/>
      <c r="G90" s="50"/>
      <c r="H90" s="22"/>
      <c r="I90" s="22"/>
      <c r="J90" s="22"/>
      <c r="K90" s="45"/>
    </row>
    <row r="91" spans="2:11" x14ac:dyDescent="0.2">
      <c r="B91" s="64" t="s">
        <v>149</v>
      </c>
      <c r="C91" s="23">
        <f>((C81+C89)/2)*0.04</f>
        <v>28895.31</v>
      </c>
      <c r="D91" s="23"/>
      <c r="E91" s="50"/>
      <c r="F91" s="22"/>
      <c r="G91" s="50"/>
      <c r="H91" s="22"/>
      <c r="I91" s="22"/>
      <c r="J91" s="22"/>
      <c r="K91" s="45"/>
    </row>
    <row r="92" spans="2:11" x14ac:dyDescent="0.2">
      <c r="B92" s="64"/>
      <c r="C92" s="23"/>
      <c r="D92" s="23"/>
      <c r="E92" s="50"/>
      <c r="F92" s="22"/>
      <c r="G92" s="50"/>
      <c r="H92" s="22"/>
      <c r="I92" s="22"/>
      <c r="J92" s="22"/>
      <c r="K92" s="45"/>
    </row>
    <row r="93" spans="2:11" x14ac:dyDescent="0.2">
      <c r="B93" s="64" t="s">
        <v>150</v>
      </c>
      <c r="C93" s="23">
        <f>C89+C91</f>
        <v>738440.57000000007</v>
      </c>
      <c r="D93" s="23"/>
      <c r="E93" s="50"/>
      <c r="F93" s="22"/>
      <c r="G93" s="50"/>
      <c r="H93" s="22"/>
      <c r="I93" s="22"/>
      <c r="J93" s="22"/>
      <c r="K93" s="45"/>
    </row>
    <row r="94" spans="2:11" x14ac:dyDescent="0.2">
      <c r="B94" s="64"/>
      <c r="C94" s="23"/>
      <c r="D94" s="23"/>
      <c r="E94" s="50"/>
      <c r="F94" s="22"/>
      <c r="G94" s="50"/>
      <c r="H94" s="22"/>
      <c r="I94" s="22"/>
      <c r="J94" s="22"/>
      <c r="K94" s="45"/>
    </row>
    <row r="95" spans="2:11" ht="13.5" thickBot="1" x14ac:dyDescent="0.25">
      <c r="B95" s="53"/>
      <c r="C95" s="54"/>
      <c r="D95" s="54"/>
      <c r="E95" s="56"/>
      <c r="F95" s="54"/>
      <c r="G95" s="56"/>
      <c r="H95" s="54"/>
      <c r="I95" s="54"/>
      <c r="J95" s="54"/>
      <c r="K95" s="57"/>
    </row>
  </sheetData>
  <mergeCells count="4">
    <mergeCell ref="B3:K3"/>
    <mergeCell ref="B4:K4"/>
    <mergeCell ref="B52:K52"/>
    <mergeCell ref="B53:K53"/>
  </mergeCells>
  <phoneticPr fontId="6" type="noConversion"/>
  <pageMargins left="0.75" right="0.75" top="1" bottom="1" header="0.5" footer="0.5"/>
  <pageSetup paperSize="8" orientation="landscape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C25" sqref="C25"/>
    </sheetView>
  </sheetViews>
  <sheetFormatPr defaultRowHeight="12.75" x14ac:dyDescent="0.2"/>
  <cols>
    <col min="1" max="1" width="32.28515625" style="1" customWidth="1"/>
    <col min="2" max="2" width="14.7109375" style="14" bestFit="1" customWidth="1"/>
    <col min="3" max="3" width="15.28515625" style="14" bestFit="1" customWidth="1"/>
    <col min="4" max="4" width="43.28515625" style="2" customWidth="1"/>
    <col min="5" max="6" width="9.140625" style="2"/>
    <col min="7" max="7" width="9.140625" style="1"/>
  </cols>
  <sheetData>
    <row r="1" spans="1:5" x14ac:dyDescent="0.2">
      <c r="A1" s="3" t="s">
        <v>49</v>
      </c>
      <c r="B1" s="8"/>
      <c r="C1" s="8"/>
      <c r="D1" s="5"/>
      <c r="E1"/>
    </row>
    <row r="2" spans="1:5" x14ac:dyDescent="0.2">
      <c r="A2" s="3" t="s">
        <v>50</v>
      </c>
      <c r="B2" s="8"/>
      <c r="C2" s="8"/>
      <c r="D2" s="5"/>
      <c r="E2"/>
    </row>
    <row r="3" spans="1:5" x14ac:dyDescent="0.2">
      <c r="A3" s="3" t="s">
        <v>148</v>
      </c>
      <c r="B3" s="9" t="s">
        <v>170</v>
      </c>
      <c r="C3" s="9" t="s">
        <v>109</v>
      </c>
      <c r="D3" s="6" t="s">
        <v>78</v>
      </c>
      <c r="E3"/>
    </row>
    <row r="4" spans="1:5" x14ac:dyDescent="0.2">
      <c r="A4" s="4"/>
      <c r="B4" s="17"/>
      <c r="C4" s="17">
        <v>41912</v>
      </c>
      <c r="D4" s="5"/>
      <c r="E4"/>
    </row>
    <row r="5" spans="1:5" x14ac:dyDescent="0.2">
      <c r="A5" s="4"/>
      <c r="B5" s="8"/>
      <c r="C5" s="8"/>
      <c r="D5" s="5"/>
      <c r="E5"/>
    </row>
    <row r="6" spans="1:5" x14ac:dyDescent="0.2">
      <c r="A6" s="3" t="s">
        <v>51</v>
      </c>
      <c r="B6" s="8"/>
      <c r="C6" s="8"/>
      <c r="D6" s="5"/>
      <c r="E6"/>
    </row>
    <row r="7" spans="1:5" x14ac:dyDescent="0.2">
      <c r="A7" s="4" t="s">
        <v>52</v>
      </c>
      <c r="B7" s="65">
        <f>97187+110324+577866</f>
        <v>785377</v>
      </c>
      <c r="C7" s="65">
        <f>144468+24297+27582</f>
        <v>196347</v>
      </c>
      <c r="D7" s="16" t="s">
        <v>90</v>
      </c>
      <c r="E7"/>
    </row>
    <row r="8" spans="1:5" x14ac:dyDescent="0.2">
      <c r="A8" s="4" t="s">
        <v>53</v>
      </c>
      <c r="B8" s="65">
        <f>145290+24435+27639</f>
        <v>197364</v>
      </c>
      <c r="C8" s="65">
        <v>40720.51</v>
      </c>
      <c r="D8" s="34" t="s">
        <v>85</v>
      </c>
      <c r="E8"/>
    </row>
    <row r="9" spans="1:5" x14ac:dyDescent="0.2">
      <c r="A9" s="4" t="s">
        <v>54</v>
      </c>
      <c r="B9" s="65">
        <f>2639+9185+159+0</f>
        <v>11983</v>
      </c>
      <c r="C9" s="65">
        <f>164.55+2255.2+13.64</f>
        <v>2433.39</v>
      </c>
      <c r="D9" s="16">
        <v>1299</v>
      </c>
      <c r="E9"/>
    </row>
    <row r="10" spans="1:5" x14ac:dyDescent="0.2">
      <c r="A10" s="4" t="s">
        <v>55</v>
      </c>
      <c r="B10" s="65">
        <f>1394</f>
        <v>1394</v>
      </c>
      <c r="C10" s="65"/>
      <c r="D10" s="16">
        <v>1345</v>
      </c>
      <c r="E10"/>
    </row>
    <row r="11" spans="1:5" x14ac:dyDescent="0.2">
      <c r="A11" s="4" t="s">
        <v>56</v>
      </c>
      <c r="B11" s="65">
        <f>1584+2229</f>
        <v>3813</v>
      </c>
      <c r="C11" s="65">
        <f>1368.3</f>
        <v>1368.3</v>
      </c>
      <c r="D11" s="35" t="s">
        <v>110</v>
      </c>
      <c r="E11"/>
    </row>
    <row r="12" spans="1:5" x14ac:dyDescent="0.2">
      <c r="A12" s="4" t="s">
        <v>106</v>
      </c>
      <c r="B12" s="15"/>
      <c r="C12" s="15"/>
      <c r="D12" s="16"/>
      <c r="E12"/>
    </row>
    <row r="13" spans="1:5" x14ac:dyDescent="0.2">
      <c r="A13" s="4" t="s">
        <v>89</v>
      </c>
      <c r="B13" s="15"/>
      <c r="C13" s="15"/>
      <c r="D13" s="16"/>
      <c r="E13"/>
    </row>
    <row r="14" spans="1:5" x14ac:dyDescent="0.2">
      <c r="A14" s="4" t="s">
        <v>88</v>
      </c>
      <c r="B14" s="15"/>
      <c r="C14" s="15"/>
      <c r="D14" s="16"/>
      <c r="E14"/>
    </row>
    <row r="15" spans="1:5" ht="13.5" thickBot="1" x14ac:dyDescent="0.25">
      <c r="A15" s="4" t="s">
        <v>92</v>
      </c>
      <c r="B15" s="15"/>
      <c r="C15" s="15"/>
      <c r="D15" s="16"/>
      <c r="E15"/>
    </row>
    <row r="16" spans="1:5" ht="13.5" thickBot="1" x14ac:dyDescent="0.25">
      <c r="A16" s="4"/>
      <c r="B16" s="26">
        <f>SUM(B7:B15)</f>
        <v>999931</v>
      </c>
      <c r="C16" s="26">
        <f>SUM(C7:C15)</f>
        <v>240869.2</v>
      </c>
      <c r="D16" s="16"/>
      <c r="E16"/>
    </row>
    <row r="17" spans="1:5" x14ac:dyDescent="0.2">
      <c r="A17" s="4"/>
      <c r="B17" s="27"/>
      <c r="C17" s="27"/>
      <c r="D17" s="16"/>
      <c r="E17"/>
    </row>
    <row r="18" spans="1:5" x14ac:dyDescent="0.2">
      <c r="A18" s="3" t="s">
        <v>57</v>
      </c>
      <c r="B18" s="27"/>
      <c r="C18" s="27"/>
      <c r="D18" s="16"/>
      <c r="E18"/>
    </row>
    <row r="19" spans="1:5" x14ac:dyDescent="0.2">
      <c r="A19" s="7" t="s">
        <v>58</v>
      </c>
      <c r="B19" s="28"/>
      <c r="C19" s="27"/>
      <c r="D19" s="16"/>
      <c r="E19"/>
    </row>
    <row r="20" spans="1:5" ht="25.5" x14ac:dyDescent="0.2">
      <c r="A20" s="4" t="s">
        <v>59</v>
      </c>
      <c r="B20" s="66">
        <f>292823-21115</f>
        <v>271708</v>
      </c>
      <c r="C20" s="65">
        <f>67842.65+317.56-5280+1902.96</f>
        <v>64783.169999999991</v>
      </c>
      <c r="D20" s="36" t="s">
        <v>171</v>
      </c>
      <c r="E20" s="4"/>
    </row>
    <row r="21" spans="1:5" x14ac:dyDescent="0.2">
      <c r="A21" s="4" t="s">
        <v>60</v>
      </c>
      <c r="B21" s="65">
        <v>12702</v>
      </c>
      <c r="C21" s="65">
        <f>1544.08</f>
        <v>1544.08</v>
      </c>
      <c r="D21" s="16">
        <v>2010</v>
      </c>
      <c r="E21"/>
    </row>
    <row r="22" spans="1:5" x14ac:dyDescent="0.2">
      <c r="A22" s="4" t="s">
        <v>61</v>
      </c>
      <c r="B22" s="65">
        <f>31471</f>
        <v>31471</v>
      </c>
      <c r="C22" s="65">
        <v>7755.52</v>
      </c>
      <c r="D22" s="16" t="s">
        <v>79</v>
      </c>
      <c r="E22"/>
    </row>
    <row r="23" spans="1:5" x14ac:dyDescent="0.2">
      <c r="A23" s="4" t="s">
        <v>62</v>
      </c>
      <c r="B23" s="65">
        <f>20803+16207+8184+26030</f>
        <v>71224</v>
      </c>
      <c r="C23" s="65">
        <f>6507+2046+4053+5202</f>
        <v>17808</v>
      </c>
      <c r="D23" s="34" t="s">
        <v>84</v>
      </c>
      <c r="E23"/>
    </row>
    <row r="24" spans="1:5" x14ac:dyDescent="0.2">
      <c r="A24" s="4" t="s">
        <v>63</v>
      </c>
      <c r="B24" s="65">
        <f>25744+6829+111+111</f>
        <v>32795</v>
      </c>
      <c r="C24" s="65">
        <f>B24/4</f>
        <v>8198.75</v>
      </c>
      <c r="D24" s="37" t="s">
        <v>91</v>
      </c>
      <c r="E24"/>
    </row>
    <row r="25" spans="1:5" x14ac:dyDescent="0.2">
      <c r="A25" s="4" t="s">
        <v>64</v>
      </c>
      <c r="B25" s="65">
        <v>15737</v>
      </c>
      <c r="C25" s="65">
        <v>3380.63</v>
      </c>
      <c r="D25" s="16">
        <v>2030</v>
      </c>
      <c r="E25"/>
    </row>
    <row r="26" spans="1:5" x14ac:dyDescent="0.2">
      <c r="A26" s="4" t="s">
        <v>65</v>
      </c>
      <c r="B26" s="65">
        <v>10080</v>
      </c>
      <c r="C26" s="65">
        <v>2520</v>
      </c>
      <c r="D26" s="16">
        <v>4960</v>
      </c>
      <c r="E26"/>
    </row>
    <row r="27" spans="1:5" ht="13.5" thickBot="1" x14ac:dyDescent="0.25">
      <c r="A27" s="4" t="s">
        <v>66</v>
      </c>
      <c r="B27" s="65">
        <v>0</v>
      </c>
      <c r="C27" s="65">
        <v>337.62</v>
      </c>
      <c r="D27" s="16">
        <v>2009</v>
      </c>
      <c r="E27"/>
    </row>
    <row r="28" spans="1:5" ht="13.5" thickBot="1" x14ac:dyDescent="0.25">
      <c r="A28" s="4"/>
      <c r="B28" s="26">
        <f>SUM(B20:B27)</f>
        <v>445717</v>
      </c>
      <c r="C28" s="26">
        <f>SUM(C20:C27)</f>
        <v>106327.76999999999</v>
      </c>
      <c r="D28" s="16"/>
      <c r="E28"/>
    </row>
    <row r="29" spans="1:5" x14ac:dyDescent="0.2">
      <c r="A29" s="7" t="s">
        <v>67</v>
      </c>
      <c r="B29" s="27"/>
      <c r="C29" s="27"/>
      <c r="D29" s="16"/>
      <c r="E29"/>
    </row>
    <row r="30" spans="1:5" x14ac:dyDescent="0.2">
      <c r="A30" s="4" t="s">
        <v>68</v>
      </c>
      <c r="B30" s="65">
        <f>0+107584</f>
        <v>107584</v>
      </c>
      <c r="C30" s="65">
        <f>54.01+680+24977.89</f>
        <v>25711.899999999998</v>
      </c>
      <c r="D30" s="34" t="s">
        <v>172</v>
      </c>
      <c r="E30"/>
    </row>
    <row r="31" spans="1:5" x14ac:dyDescent="0.2">
      <c r="A31" s="4" t="s">
        <v>107</v>
      </c>
      <c r="B31" s="65">
        <v>0</v>
      </c>
      <c r="C31" s="65">
        <v>13377.36</v>
      </c>
      <c r="D31" s="34" t="s">
        <v>108</v>
      </c>
      <c r="E31"/>
    </row>
    <row r="32" spans="1:5" ht="25.5" x14ac:dyDescent="0.2">
      <c r="A32" s="4" t="s">
        <v>69</v>
      </c>
      <c r="B32" s="65">
        <f>42181</f>
        <v>42181</v>
      </c>
      <c r="C32" s="65">
        <v>10545</v>
      </c>
      <c r="D32" s="34" t="s">
        <v>95</v>
      </c>
      <c r="E32"/>
    </row>
    <row r="33" spans="1:5" ht="13.5" thickBot="1" x14ac:dyDescent="0.25">
      <c r="A33" s="4" t="s">
        <v>70</v>
      </c>
      <c r="B33" s="65">
        <v>4561</v>
      </c>
      <c r="C33" s="65"/>
      <c r="D33" s="34" t="s">
        <v>83</v>
      </c>
      <c r="E33"/>
    </row>
    <row r="34" spans="1:5" ht="13.5" thickBot="1" x14ac:dyDescent="0.25">
      <c r="A34" s="4"/>
      <c r="B34" s="26">
        <f>SUM(B30:B33)</f>
        <v>154326</v>
      </c>
      <c r="C34" s="26">
        <f>SUM(C30:C33)</f>
        <v>49634.259999999995</v>
      </c>
      <c r="D34" s="16"/>
      <c r="E34"/>
    </row>
    <row r="35" spans="1:5" x14ac:dyDescent="0.2">
      <c r="A35" s="7" t="s">
        <v>71</v>
      </c>
      <c r="B35" s="27"/>
      <c r="C35" s="27"/>
      <c r="D35" s="16"/>
      <c r="E35"/>
    </row>
    <row r="36" spans="1:5" x14ac:dyDescent="0.2">
      <c r="A36" s="4" t="s">
        <v>72</v>
      </c>
      <c r="B36" s="15">
        <f>267816+10300</f>
        <v>278116</v>
      </c>
      <c r="C36" s="15">
        <v>93315.5</v>
      </c>
      <c r="D36" s="16" t="s">
        <v>86</v>
      </c>
      <c r="E36" t="s">
        <v>112</v>
      </c>
    </row>
    <row r="37" spans="1:5" x14ac:dyDescent="0.2">
      <c r="A37" s="4" t="s">
        <v>73</v>
      </c>
      <c r="B37" s="65">
        <f>15000</f>
        <v>15000</v>
      </c>
      <c r="C37" s="65">
        <v>1550.45</v>
      </c>
      <c r="D37" s="34" t="s">
        <v>80</v>
      </c>
      <c r="E37"/>
    </row>
    <row r="38" spans="1:5" ht="13.5" thickBot="1" x14ac:dyDescent="0.25">
      <c r="A38" s="4" t="s">
        <v>74</v>
      </c>
      <c r="B38" s="65">
        <v>52788</v>
      </c>
      <c r="C38" s="65">
        <v>9357.01</v>
      </c>
      <c r="D38" s="34" t="s">
        <v>81</v>
      </c>
      <c r="E38"/>
    </row>
    <row r="39" spans="1:5" ht="13.5" thickBot="1" x14ac:dyDescent="0.25">
      <c r="A39" s="4"/>
      <c r="B39" s="26">
        <f>SUM(B36:B38)</f>
        <v>345904</v>
      </c>
      <c r="C39" s="26">
        <f>SUM(C36:C38)</f>
        <v>104222.95999999999</v>
      </c>
      <c r="D39" s="16"/>
      <c r="E39"/>
    </row>
    <row r="40" spans="1:5" x14ac:dyDescent="0.2">
      <c r="A40" s="7" t="s">
        <v>75</v>
      </c>
      <c r="B40" s="27"/>
      <c r="C40" s="27"/>
      <c r="D40" s="16"/>
      <c r="E40"/>
    </row>
    <row r="41" spans="1:5" x14ac:dyDescent="0.2">
      <c r="A41" s="4" t="s">
        <v>93</v>
      </c>
      <c r="B41" s="65">
        <v>24000</v>
      </c>
      <c r="C41" s="65">
        <f>340+1114.62+1122.73+1812.03+15</f>
        <v>4404.38</v>
      </c>
      <c r="D41" s="16" t="s">
        <v>122</v>
      </c>
      <c r="E41"/>
    </row>
    <row r="42" spans="1:5" x14ac:dyDescent="0.2">
      <c r="A42" s="4" t="s">
        <v>94</v>
      </c>
      <c r="B42" s="65">
        <v>25928</v>
      </c>
      <c r="C42" s="65">
        <f>190+0+723.58+10416.53+565.97+630.14+2850.3</f>
        <v>15376.52</v>
      </c>
      <c r="D42" s="16" t="s">
        <v>111</v>
      </c>
      <c r="E42" t="s">
        <v>173</v>
      </c>
    </row>
    <row r="43" spans="1:5" x14ac:dyDescent="0.2">
      <c r="A43" s="4" t="s">
        <v>76</v>
      </c>
      <c r="B43" s="15">
        <v>2500</v>
      </c>
      <c r="C43" s="15">
        <v>617.20000000000005</v>
      </c>
      <c r="D43" s="16" t="s">
        <v>103</v>
      </c>
      <c r="E43"/>
    </row>
    <row r="44" spans="1:5" x14ac:dyDescent="0.2">
      <c r="A44" s="4" t="s">
        <v>87</v>
      </c>
      <c r="B44" s="15">
        <v>1056</v>
      </c>
      <c r="C44" s="15">
        <v>58.21</v>
      </c>
      <c r="D44" s="34" t="s">
        <v>82</v>
      </c>
      <c r="E44"/>
    </row>
    <row r="45" spans="1:5" x14ac:dyDescent="0.2">
      <c r="A45" s="4" t="s">
        <v>118</v>
      </c>
      <c r="B45" s="15">
        <v>10300</v>
      </c>
      <c r="C45" s="15">
        <v>0</v>
      </c>
      <c r="D45" s="34" t="s">
        <v>119</v>
      </c>
      <c r="E45"/>
    </row>
    <row r="46" spans="1:5" ht="13.5" thickBot="1" x14ac:dyDescent="0.25">
      <c r="A46" s="4" t="s">
        <v>77</v>
      </c>
      <c r="B46" s="15">
        <v>500</v>
      </c>
      <c r="C46" s="15"/>
      <c r="D46" s="34" t="s">
        <v>104</v>
      </c>
      <c r="E46"/>
    </row>
    <row r="47" spans="1:5" ht="13.5" thickBot="1" x14ac:dyDescent="0.25">
      <c r="A47" s="4"/>
      <c r="B47" s="10">
        <f>SUM(B41:B46)</f>
        <v>64284</v>
      </c>
      <c r="C47" s="10">
        <f>SUM(C41:C46)</f>
        <v>20456.310000000001</v>
      </c>
      <c r="D47" s="16"/>
      <c r="E47"/>
    </row>
    <row r="48" spans="1:5" x14ac:dyDescent="0.2">
      <c r="A48" s="4"/>
      <c r="B48" s="11"/>
      <c r="C48" s="11"/>
      <c r="D48" s="5"/>
      <c r="E48"/>
    </row>
    <row r="49" spans="1:5" x14ac:dyDescent="0.2">
      <c r="A49" s="4"/>
      <c r="B49" s="11"/>
      <c r="C49" s="11"/>
      <c r="D49" s="5"/>
      <c r="E49"/>
    </row>
    <row r="50" spans="1:5" ht="13.5" thickBot="1" x14ac:dyDescent="0.25">
      <c r="A50" s="4"/>
      <c r="B50" s="12"/>
      <c r="C50" s="12"/>
      <c r="D50" s="5"/>
      <c r="E50"/>
    </row>
    <row r="51" spans="1:5" x14ac:dyDescent="0.2">
      <c r="A51" s="4"/>
      <c r="B51" s="13">
        <f>B16-B28-B34-B39-B47</f>
        <v>-10300</v>
      </c>
      <c r="C51" s="13">
        <f>C16-C28-C34-C39-C47</f>
        <v>-39772.099999999962</v>
      </c>
      <c r="D51" s="5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</sheetData>
  <phoneticPr fontId="6" type="noConversion"/>
  <pageMargins left="0.74803149606299213" right="0.74803149606299213" top="0.19685039370078741" bottom="0.19685039370078741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6"/>
  <sheetViews>
    <sheetView workbookViewId="0">
      <selection sqref="A1:C4"/>
    </sheetView>
  </sheetViews>
  <sheetFormatPr defaultRowHeight="12.75" x14ac:dyDescent="0.2"/>
  <cols>
    <col min="1" max="1" width="74.7109375" bestFit="1" customWidth="1"/>
    <col min="2" max="2" width="11.28515625" bestFit="1" customWidth="1"/>
  </cols>
  <sheetData>
    <row r="1" spans="1:2" ht="15.75" x14ac:dyDescent="0.25">
      <c r="A1" s="33" t="s">
        <v>0</v>
      </c>
      <c r="B1" s="33" t="s">
        <v>123</v>
      </c>
    </row>
    <row r="2" spans="1:2" ht="15" x14ac:dyDescent="0.25">
      <c r="A2" s="30" t="s">
        <v>1</v>
      </c>
      <c r="B2" s="31">
        <v>208633.84</v>
      </c>
    </row>
    <row r="3" spans="1:2" ht="15" x14ac:dyDescent="0.25">
      <c r="A3" s="30" t="s">
        <v>124</v>
      </c>
      <c r="B3" s="31">
        <v>327.56</v>
      </c>
    </row>
    <row r="4" spans="1:2" ht="15" x14ac:dyDescent="0.25">
      <c r="A4" s="30" t="s">
        <v>125</v>
      </c>
      <c r="B4" s="31">
        <v>670.67</v>
      </c>
    </row>
    <row r="5" spans="1:2" ht="15" x14ac:dyDescent="0.25">
      <c r="A5" s="30" t="s">
        <v>126</v>
      </c>
      <c r="B5" s="31">
        <v>728.18</v>
      </c>
    </row>
    <row r="6" spans="1:2" ht="15" x14ac:dyDescent="0.25">
      <c r="A6" s="30" t="s">
        <v>2</v>
      </c>
      <c r="B6" s="31">
        <v>853.44</v>
      </c>
    </row>
    <row r="7" spans="1:2" ht="15" x14ac:dyDescent="0.25">
      <c r="A7" s="30" t="s">
        <v>3</v>
      </c>
      <c r="B7" s="31">
        <v>7622</v>
      </c>
    </row>
    <row r="8" spans="1:2" ht="15" x14ac:dyDescent="0.25">
      <c r="A8" s="30" t="s">
        <v>127</v>
      </c>
      <c r="B8" s="31">
        <v>3267.41</v>
      </c>
    </row>
    <row r="9" spans="1:2" ht="15" x14ac:dyDescent="0.25">
      <c r="A9" s="30" t="s">
        <v>4</v>
      </c>
      <c r="B9" s="31">
        <v>0</v>
      </c>
    </row>
    <row r="10" spans="1:2" ht="15" x14ac:dyDescent="0.25">
      <c r="A10" s="30" t="s">
        <v>5</v>
      </c>
      <c r="B10" s="31">
        <v>0</v>
      </c>
    </row>
    <row r="11" spans="1:2" ht="15" x14ac:dyDescent="0.25">
      <c r="A11" s="30" t="s">
        <v>6</v>
      </c>
      <c r="B11" s="31">
        <v>0</v>
      </c>
    </row>
    <row r="12" spans="1:2" ht="15" x14ac:dyDescent="0.25">
      <c r="A12" s="30" t="s">
        <v>7</v>
      </c>
      <c r="B12" s="31">
        <v>0</v>
      </c>
    </row>
    <row r="13" spans="1:2" ht="15" x14ac:dyDescent="0.25">
      <c r="A13" s="30" t="s">
        <v>8</v>
      </c>
      <c r="B13" s="31">
        <v>21643.65</v>
      </c>
    </row>
    <row r="14" spans="1:2" ht="15" x14ac:dyDescent="0.25">
      <c r="A14" s="30" t="s">
        <v>9</v>
      </c>
      <c r="B14" s="31">
        <v>7011.69</v>
      </c>
    </row>
    <row r="15" spans="1:2" ht="15" x14ac:dyDescent="0.25">
      <c r="A15" s="30" t="s">
        <v>101</v>
      </c>
      <c r="B15" s="31">
        <v>-15453</v>
      </c>
    </row>
    <row r="16" spans="1:2" ht="15" x14ac:dyDescent="0.25">
      <c r="A16" s="30" t="s">
        <v>10</v>
      </c>
      <c r="B16" s="31">
        <v>7338.78</v>
      </c>
    </row>
    <row r="17" spans="1:2" ht="15" x14ac:dyDescent="0.25">
      <c r="A17" s="30" t="s">
        <v>128</v>
      </c>
      <c r="B17" s="31">
        <v>4849.9799999999996</v>
      </c>
    </row>
    <row r="18" spans="1:2" ht="15" x14ac:dyDescent="0.25">
      <c r="A18" s="30" t="s">
        <v>11</v>
      </c>
      <c r="B18" s="31">
        <v>274.89</v>
      </c>
    </row>
    <row r="19" spans="1:2" ht="15" x14ac:dyDescent="0.25">
      <c r="A19" s="30" t="s">
        <v>116</v>
      </c>
      <c r="B19" s="31">
        <v>602.27</v>
      </c>
    </row>
    <row r="20" spans="1:2" ht="15" x14ac:dyDescent="0.25">
      <c r="A20" s="30" t="s">
        <v>129</v>
      </c>
      <c r="B20" s="31">
        <v>0</v>
      </c>
    </row>
    <row r="21" spans="1:2" ht="15" x14ac:dyDescent="0.25">
      <c r="A21" s="30" t="s">
        <v>12</v>
      </c>
      <c r="B21" s="31">
        <v>4774.6400000000003</v>
      </c>
    </row>
    <row r="22" spans="1:2" ht="15" x14ac:dyDescent="0.25">
      <c r="A22" s="30" t="s">
        <v>130</v>
      </c>
      <c r="B22" s="31">
        <v>7572.07</v>
      </c>
    </row>
    <row r="23" spans="1:2" ht="15" x14ac:dyDescent="0.25">
      <c r="A23" s="30" t="s">
        <v>131</v>
      </c>
      <c r="B23" s="31">
        <v>63.63</v>
      </c>
    </row>
    <row r="24" spans="1:2" ht="15" x14ac:dyDescent="0.25">
      <c r="A24" s="30" t="s">
        <v>13</v>
      </c>
      <c r="B24" s="31">
        <v>312.35000000000002</v>
      </c>
    </row>
    <row r="25" spans="1:2" ht="15" x14ac:dyDescent="0.25">
      <c r="A25" s="30" t="s">
        <v>14</v>
      </c>
      <c r="B25" s="31">
        <v>261.77</v>
      </c>
    </row>
    <row r="26" spans="1:2" ht="15" x14ac:dyDescent="0.25">
      <c r="A26" s="30" t="s">
        <v>15</v>
      </c>
      <c r="B26" s="31">
        <v>195</v>
      </c>
    </row>
    <row r="27" spans="1:2" ht="15" x14ac:dyDescent="0.25">
      <c r="A27" s="30" t="s">
        <v>16</v>
      </c>
      <c r="B27" s="31">
        <v>3473.6</v>
      </c>
    </row>
    <row r="28" spans="1:2" ht="15" x14ac:dyDescent="0.25">
      <c r="A28" s="30" t="s">
        <v>17</v>
      </c>
      <c r="B28" s="31">
        <v>6926.27</v>
      </c>
    </row>
    <row r="29" spans="1:2" ht="15" x14ac:dyDescent="0.25">
      <c r="A29" s="30" t="s">
        <v>18</v>
      </c>
      <c r="B29" s="31">
        <v>7900.42</v>
      </c>
    </row>
    <row r="30" spans="1:2" ht="15" x14ac:dyDescent="0.25">
      <c r="A30" s="30" t="s">
        <v>117</v>
      </c>
      <c r="B30" s="31">
        <v>4450</v>
      </c>
    </row>
    <row r="31" spans="1:2" ht="15" x14ac:dyDescent="0.25">
      <c r="A31" s="30" t="s">
        <v>132</v>
      </c>
      <c r="B31" s="31">
        <v>255.27</v>
      </c>
    </row>
    <row r="32" spans="1:2" ht="15" x14ac:dyDescent="0.25">
      <c r="A32" s="30" t="s">
        <v>133</v>
      </c>
      <c r="B32" s="31">
        <v>1714.57</v>
      </c>
    </row>
    <row r="33" spans="1:2" ht="15" x14ac:dyDescent="0.25">
      <c r="A33" s="30" t="s">
        <v>134</v>
      </c>
      <c r="B33" s="31">
        <v>1818.18</v>
      </c>
    </row>
    <row r="34" spans="1:2" ht="15" x14ac:dyDescent="0.25">
      <c r="A34" s="30" t="s">
        <v>135</v>
      </c>
      <c r="B34" s="31">
        <v>446102.59</v>
      </c>
    </row>
    <row r="35" spans="1:2" ht="15" x14ac:dyDescent="0.25">
      <c r="A35" s="30" t="s">
        <v>136</v>
      </c>
      <c r="B35" s="31">
        <v>0</v>
      </c>
    </row>
    <row r="36" spans="1:2" ht="15" x14ac:dyDescent="0.25">
      <c r="A36" s="30" t="s">
        <v>102</v>
      </c>
      <c r="B36" s="31">
        <v>0</v>
      </c>
    </row>
    <row r="37" spans="1:2" ht="15" x14ac:dyDescent="0.25">
      <c r="A37" s="30" t="s">
        <v>137</v>
      </c>
      <c r="B37" s="31">
        <v>0</v>
      </c>
    </row>
    <row r="38" spans="1:2" ht="15" x14ac:dyDescent="0.25">
      <c r="A38" s="30" t="s">
        <v>19</v>
      </c>
      <c r="B38" s="31">
        <v>15219</v>
      </c>
    </row>
    <row r="39" spans="1:2" ht="15" x14ac:dyDescent="0.25">
      <c r="A39" s="30" t="s">
        <v>20</v>
      </c>
      <c r="B39" s="31">
        <v>30861</v>
      </c>
    </row>
    <row r="40" spans="1:2" ht="15" x14ac:dyDescent="0.25">
      <c r="A40" s="30" t="s">
        <v>21</v>
      </c>
      <c r="B40" s="31">
        <v>11862</v>
      </c>
    </row>
    <row r="41" spans="1:2" ht="15" x14ac:dyDescent="0.25">
      <c r="A41" s="30" t="s">
        <v>22</v>
      </c>
      <c r="B41" s="31">
        <v>5985</v>
      </c>
    </row>
    <row r="42" spans="1:2" ht="15" x14ac:dyDescent="0.25">
      <c r="A42" s="30" t="s">
        <v>23</v>
      </c>
      <c r="B42" s="31">
        <v>19044</v>
      </c>
    </row>
    <row r="43" spans="1:2" ht="15" x14ac:dyDescent="0.25">
      <c r="A43" s="30" t="s">
        <v>24</v>
      </c>
      <c r="B43" s="31">
        <v>163.63999999999999</v>
      </c>
    </row>
    <row r="44" spans="1:2" ht="15" x14ac:dyDescent="0.25">
      <c r="A44" s="30" t="s">
        <v>25</v>
      </c>
      <c r="B44" s="31">
        <v>-72.599999999999994</v>
      </c>
    </row>
    <row r="45" spans="1:2" ht="15" x14ac:dyDescent="0.25">
      <c r="A45" s="30" t="s">
        <v>138</v>
      </c>
      <c r="B45" s="31">
        <v>0</v>
      </c>
    </row>
    <row r="46" spans="1:2" ht="15" x14ac:dyDescent="0.25">
      <c r="A46" s="30" t="s">
        <v>26</v>
      </c>
      <c r="B46" s="31">
        <v>47236.86</v>
      </c>
    </row>
    <row r="47" spans="1:2" ht="15" x14ac:dyDescent="0.25">
      <c r="A47" s="30" t="s">
        <v>27</v>
      </c>
      <c r="B47" s="31">
        <v>11600</v>
      </c>
    </row>
    <row r="48" spans="1:2" ht="15" x14ac:dyDescent="0.25">
      <c r="A48" s="30" t="s">
        <v>28</v>
      </c>
      <c r="B48" s="31">
        <v>24510.400000000001</v>
      </c>
    </row>
    <row r="49" spans="1:2" ht="15" x14ac:dyDescent="0.25">
      <c r="A49" s="30" t="s">
        <v>139</v>
      </c>
      <c r="B49" s="31">
        <v>2244.41</v>
      </c>
    </row>
    <row r="50" spans="1:2" ht="15" x14ac:dyDescent="0.25">
      <c r="A50" s="30" t="s">
        <v>29</v>
      </c>
      <c r="B50" s="31">
        <v>0</v>
      </c>
    </row>
    <row r="51" spans="1:2" ht="15" x14ac:dyDescent="0.25">
      <c r="A51" s="30" t="s">
        <v>30</v>
      </c>
      <c r="B51" s="31">
        <v>627.47</v>
      </c>
    </row>
    <row r="52" spans="1:2" ht="15" x14ac:dyDescent="0.25">
      <c r="A52" s="30" t="s">
        <v>140</v>
      </c>
      <c r="B52" s="31">
        <v>4371.75</v>
      </c>
    </row>
    <row r="53" spans="1:2" ht="15" x14ac:dyDescent="0.25">
      <c r="A53" s="30" t="s">
        <v>31</v>
      </c>
      <c r="B53" s="31">
        <v>11434.95</v>
      </c>
    </row>
    <row r="54" spans="1:2" ht="15" x14ac:dyDescent="0.25">
      <c r="A54" s="30" t="s">
        <v>32</v>
      </c>
      <c r="B54" s="31">
        <v>186</v>
      </c>
    </row>
    <row r="55" spans="1:2" ht="15" x14ac:dyDescent="0.25">
      <c r="A55" s="30" t="s">
        <v>33</v>
      </c>
      <c r="B55" s="31">
        <v>19619.88</v>
      </c>
    </row>
    <row r="56" spans="1:2" ht="15" x14ac:dyDescent="0.25">
      <c r="A56" s="30" t="s">
        <v>141</v>
      </c>
      <c r="B56" s="31">
        <v>0</v>
      </c>
    </row>
    <row r="57" spans="1:2" ht="15" x14ac:dyDescent="0.25">
      <c r="A57" s="30" t="s">
        <v>34</v>
      </c>
      <c r="B57" s="31">
        <v>894.92</v>
      </c>
    </row>
    <row r="58" spans="1:2" ht="15" x14ac:dyDescent="0.25">
      <c r="A58" s="30" t="s">
        <v>114</v>
      </c>
      <c r="B58" s="31">
        <v>0</v>
      </c>
    </row>
    <row r="59" spans="1:2" ht="15" x14ac:dyDescent="0.25">
      <c r="A59" s="30" t="s">
        <v>142</v>
      </c>
      <c r="B59" s="31">
        <v>24</v>
      </c>
    </row>
    <row r="60" spans="1:2" ht="15" x14ac:dyDescent="0.25">
      <c r="A60" s="30" t="s">
        <v>35</v>
      </c>
      <c r="B60" s="31">
        <v>583.65</v>
      </c>
    </row>
    <row r="61" spans="1:2" ht="15" x14ac:dyDescent="0.25">
      <c r="A61" s="30" t="s">
        <v>143</v>
      </c>
      <c r="B61" s="31">
        <v>110.14</v>
      </c>
    </row>
    <row r="62" spans="1:2" ht="15" x14ac:dyDescent="0.25">
      <c r="A62" s="30" t="s">
        <v>36</v>
      </c>
      <c r="B62" s="31">
        <v>-963.73</v>
      </c>
    </row>
    <row r="63" spans="1:2" ht="15" x14ac:dyDescent="0.25">
      <c r="A63" s="30" t="s">
        <v>37</v>
      </c>
      <c r="B63" s="31">
        <v>1350.9</v>
      </c>
    </row>
    <row r="64" spans="1:2" ht="15" x14ac:dyDescent="0.25">
      <c r="A64" s="30" t="s">
        <v>38</v>
      </c>
      <c r="B64" s="31">
        <v>-422829</v>
      </c>
    </row>
    <row r="65" spans="1:2" ht="15" x14ac:dyDescent="0.25">
      <c r="A65" s="30" t="s">
        <v>39</v>
      </c>
      <c r="B65" s="31">
        <v>-112151.97</v>
      </c>
    </row>
    <row r="66" spans="1:2" ht="15" x14ac:dyDescent="0.25">
      <c r="A66" s="30" t="s">
        <v>40</v>
      </c>
      <c r="B66" s="31">
        <v>-71109</v>
      </c>
    </row>
    <row r="67" spans="1:2" ht="15" x14ac:dyDescent="0.25">
      <c r="A67" s="30" t="s">
        <v>41</v>
      </c>
      <c r="B67" s="31">
        <v>-21485.45</v>
      </c>
    </row>
    <row r="68" spans="1:2" ht="15" x14ac:dyDescent="0.25">
      <c r="A68" s="30" t="s">
        <v>42</v>
      </c>
      <c r="B68" s="31">
        <v>-440.5</v>
      </c>
    </row>
    <row r="69" spans="1:2" ht="15" x14ac:dyDescent="0.25">
      <c r="A69" s="30" t="s">
        <v>43</v>
      </c>
      <c r="B69" s="31">
        <v>-7679.54</v>
      </c>
    </row>
    <row r="70" spans="1:2" ht="15" x14ac:dyDescent="0.25">
      <c r="A70" s="30" t="s">
        <v>44</v>
      </c>
      <c r="B70" s="31">
        <v>-80721</v>
      </c>
    </row>
    <row r="71" spans="1:2" ht="15" x14ac:dyDescent="0.25">
      <c r="A71" s="30" t="s">
        <v>45</v>
      </c>
      <c r="B71" s="31">
        <v>-22538.68</v>
      </c>
    </row>
    <row r="72" spans="1:2" ht="15" x14ac:dyDescent="0.25">
      <c r="A72" s="30" t="s">
        <v>46</v>
      </c>
      <c r="B72" s="31">
        <v>-1099.56</v>
      </c>
    </row>
    <row r="73" spans="1:2" ht="15" x14ac:dyDescent="0.25">
      <c r="A73" s="30" t="s">
        <v>144</v>
      </c>
      <c r="B73" s="31">
        <v>0</v>
      </c>
    </row>
    <row r="74" spans="1:2" ht="15" x14ac:dyDescent="0.25">
      <c r="A74" s="30" t="s">
        <v>47</v>
      </c>
      <c r="B74" s="31">
        <v>0</v>
      </c>
    </row>
    <row r="75" spans="1:2" ht="15" x14ac:dyDescent="0.25">
      <c r="A75" s="30" t="s">
        <v>48</v>
      </c>
      <c r="B75" s="31">
        <v>12914.02</v>
      </c>
    </row>
    <row r="76" spans="1:2" ht="15" x14ac:dyDescent="0.25">
      <c r="A76" s="29"/>
      <c r="B76" s="32">
        <v>213944.68000000025</v>
      </c>
    </row>
  </sheetData>
  <phoneticPr fontId="6" type="noConversion"/>
  <pageMargins left="0.15748031496062992" right="0.15748031496062992" top="0.23622047244094491" bottom="0.23622047244094491" header="0.1968503937007874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Workings</vt:lpstr>
      <vt:lpstr>transactions</vt:lpstr>
    </vt:vector>
  </TitlesOfParts>
  <Company>Clarence Valley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Kathryn Breward</cp:lastModifiedBy>
  <cp:lastPrinted>2014-10-23T05:07:20Z</cp:lastPrinted>
  <dcterms:created xsi:type="dcterms:W3CDTF">2012-07-31T03:28:38Z</dcterms:created>
  <dcterms:modified xsi:type="dcterms:W3CDTF">2014-10-23T05:08:52Z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